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autoCompressPictures="0"/>
  <mc:AlternateContent xmlns:mc="http://schemas.openxmlformats.org/markup-compatibility/2006">
    <mc:Choice Requires="x15">
      <x15ac:absPath xmlns:x15ac="http://schemas.microsoft.com/office/spreadsheetml/2010/11/ac" url="/Users/lousiajenkin/Eskimo Dropbox/Louisa Jenkins/SALES PRICE LISTS/2024 WIP/"/>
    </mc:Choice>
  </mc:AlternateContent>
  <xr:revisionPtr revIDLastSave="0" documentId="13_ncr:1_{46BE41F8-9373-FC49-AB22-8577F4464A4E}" xr6:coauthVersionLast="47" xr6:coauthVersionMax="47" xr10:uidLastSave="{00000000-0000-0000-0000-000000000000}"/>
  <bookViews>
    <workbookView xWindow="1660" yWindow="460" windowWidth="35740" windowHeight="21140" tabRatio="777" xr2:uid="{00000000-000D-0000-FFFF-FFFF00000000}"/>
  </bookViews>
  <sheets>
    <sheet name="COLUMN RANGE" sheetId="20" r:id="rId1"/>
    <sheet name="OUTLINE RANGE" sheetId="4" r:id="rId2"/>
    <sheet name="OUTLINE RANGE BESPOKE SIZE CALC" sheetId="13" r:id="rId3"/>
    <sheet name="Sheet1" sheetId="18" state="veryHidden" r:id="rId4"/>
    <sheet name="OUTLINE RANGE H&amp;B HIDDEN VALVES" sheetId="8" r:id="rId5"/>
    <sheet name="OUTLINE VENEER RANGE" sheetId="10" r:id="rId6"/>
    <sheet name="OUTLINE VENEER RANGE SIZE CALC" sheetId="14" r:id="rId7"/>
    <sheet name="Sheet2" sheetId="19" state="veryHidden" r:id="rId8"/>
    <sheet name="OUTLINE VENEER RANGE H&amp;B" sheetId="11" r:id="rId9"/>
    <sheet name="Column" sheetId="12" state="hidden" r:id="rId10"/>
  </sheets>
  <definedNames>
    <definedName name="_xlnm.Print_Area" localSheetId="0">'COLUMN RANGE'!$A$1:$AA$64</definedName>
    <definedName name="_xlnm.Print_Area" localSheetId="1">'OUTLINE RANGE'!$A$1:$L$53</definedName>
    <definedName name="_xlnm.Print_Area" localSheetId="4">'OUTLINE RANGE H&amp;B HIDDEN VALVES'!$A$1:$L$46</definedName>
    <definedName name="_xlnm.Print_Area" localSheetId="5">'OUTLINE VENEER RANGE'!$A$1:$F$53</definedName>
    <definedName name="_xlnm.Print_Area" localSheetId="8">'OUTLINE VENEER RANGE H&amp;B'!$A$1:$F$46</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14" l="1"/>
  <c r="G11" i="14"/>
  <c r="G10" i="14"/>
  <c r="G9" i="14"/>
  <c r="F12" i="14"/>
  <c r="F11" i="14"/>
  <c r="F10" i="14"/>
  <c r="F9" i="14"/>
  <c r="I11" i="13" l="1"/>
  <c r="I10" i="13"/>
  <c r="I9" i="13"/>
  <c r="I8" i="13"/>
  <c r="L11" i="13"/>
  <c r="L10" i="13"/>
  <c r="L9" i="13"/>
  <c r="L8" i="13"/>
  <c r="K11" i="13"/>
  <c r="K10" i="13"/>
  <c r="K9" i="13"/>
  <c r="K8" i="13"/>
  <c r="Z14" i="20" l="1"/>
  <c r="Z15" i="20"/>
  <c r="Z16" i="20"/>
  <c r="Z17" i="20"/>
  <c r="D10" i="20" l="1"/>
  <c r="F10" i="20"/>
  <c r="H10" i="20"/>
  <c r="J10" i="20"/>
  <c r="L10" i="20"/>
  <c r="N10" i="20"/>
  <c r="P10" i="20"/>
  <c r="R10" i="20"/>
  <c r="T10" i="20"/>
  <c r="V10" i="20"/>
  <c r="X10" i="20"/>
  <c r="Z10" i="20"/>
  <c r="F12" i="20"/>
  <c r="H12" i="20"/>
  <c r="D13" i="20"/>
  <c r="Z13" i="20" s="1"/>
  <c r="R14" i="20"/>
  <c r="T14" i="20"/>
  <c r="V14" i="20"/>
  <c r="X14" i="20"/>
  <c r="L15" i="20"/>
  <c r="N15" i="20"/>
  <c r="P15" i="20"/>
  <c r="R15" i="20"/>
  <c r="T15" i="20"/>
  <c r="V15" i="20"/>
  <c r="X15" i="20"/>
  <c r="J16" i="20"/>
  <c r="L16" i="20"/>
  <c r="N16" i="20"/>
  <c r="P16" i="20"/>
  <c r="R16" i="20"/>
  <c r="T16" i="20"/>
  <c r="V16" i="20"/>
  <c r="X16" i="20"/>
  <c r="H17" i="20"/>
  <c r="J17" i="20"/>
  <c r="L17" i="20"/>
  <c r="N17" i="20"/>
  <c r="P17" i="20"/>
  <c r="R17" i="20"/>
  <c r="T17" i="20"/>
  <c r="V17" i="20"/>
  <c r="X17" i="20"/>
  <c r="F24" i="20"/>
  <c r="H24" i="20"/>
  <c r="D25" i="20"/>
  <c r="X25" i="20" s="1"/>
  <c r="R26" i="20"/>
  <c r="T26" i="20"/>
  <c r="V26" i="20"/>
  <c r="X26" i="20"/>
  <c r="Z26" i="20"/>
  <c r="L27" i="20"/>
  <c r="N27" i="20"/>
  <c r="P27" i="20"/>
  <c r="R27" i="20"/>
  <c r="T27" i="20"/>
  <c r="V27" i="20"/>
  <c r="X27" i="20"/>
  <c r="Z27" i="20"/>
  <c r="J28" i="20"/>
  <c r="L28" i="20"/>
  <c r="N28" i="20"/>
  <c r="P28" i="20"/>
  <c r="R28" i="20"/>
  <c r="T28" i="20"/>
  <c r="V28" i="20"/>
  <c r="X28" i="20"/>
  <c r="Z28" i="20"/>
  <c r="H29" i="20"/>
  <c r="J29" i="20"/>
  <c r="L29" i="20"/>
  <c r="N29" i="20"/>
  <c r="P29" i="20"/>
  <c r="R29" i="20"/>
  <c r="T29" i="20"/>
  <c r="V29" i="20"/>
  <c r="X29" i="20"/>
  <c r="Z29" i="20"/>
  <c r="D34" i="20"/>
  <c r="F34" i="20"/>
  <c r="H34" i="20"/>
  <c r="J34" i="20"/>
  <c r="L34" i="20"/>
  <c r="N34" i="20"/>
  <c r="P34" i="20"/>
  <c r="R34" i="20"/>
  <c r="T34" i="20"/>
  <c r="V34" i="20"/>
  <c r="X34" i="20"/>
  <c r="Z34" i="20"/>
  <c r="F13" i="20" l="1"/>
  <c r="F25" i="20"/>
  <c r="Z25" i="20"/>
  <c r="V25" i="20"/>
  <c r="V13" i="20"/>
  <c r="X13" i="20"/>
  <c r="B42" i="19" l="1"/>
  <c r="E42" i="19" s="1"/>
  <c r="C42" i="19"/>
  <c r="F42" i="19" s="1"/>
  <c r="C41" i="19"/>
  <c r="F41" i="19" s="1"/>
  <c r="B41" i="19"/>
  <c r="E41" i="19" s="1"/>
  <c r="B32" i="19"/>
  <c r="I32" i="19" s="1"/>
  <c r="C32" i="19"/>
  <c r="F32" i="19" s="1"/>
  <c r="O32" i="19" s="1"/>
  <c r="C31" i="19"/>
  <c r="F31" i="19" s="1"/>
  <c r="O31" i="19" s="1"/>
  <c r="B31" i="19"/>
  <c r="I31" i="19" s="1"/>
  <c r="E31" i="19" s="1"/>
  <c r="J31" i="19" s="1"/>
  <c r="K31" i="19" s="1"/>
  <c r="M31" i="19" s="1"/>
  <c r="B18" i="19"/>
  <c r="E18" i="19" s="1"/>
  <c r="C18" i="19"/>
  <c r="F18" i="19" s="1"/>
  <c r="C17" i="19"/>
  <c r="F17" i="19" s="1"/>
  <c r="B17" i="19"/>
  <c r="E17" i="19" s="1"/>
  <c r="B23" i="19"/>
  <c r="B36" i="19" s="1"/>
  <c r="C23" i="19"/>
  <c r="C36" i="19" s="1"/>
  <c r="C22" i="19"/>
  <c r="C35" i="19" s="1"/>
  <c r="B22" i="19"/>
  <c r="B27" i="19" s="1"/>
  <c r="B3" i="19"/>
  <c r="B8" i="19" s="1"/>
  <c r="C3" i="19"/>
  <c r="F3" i="19" s="1"/>
  <c r="O3" i="19" s="1"/>
  <c r="C2" i="19"/>
  <c r="F2" i="19" s="1"/>
  <c r="O2" i="19" s="1"/>
  <c r="B2" i="19"/>
  <c r="B7" i="19" s="1"/>
  <c r="D42" i="19"/>
  <c r="G42" i="19"/>
  <c r="D41" i="19"/>
  <c r="G41" i="19"/>
  <c r="D40" i="19"/>
  <c r="C40" i="19"/>
  <c r="B40" i="19"/>
  <c r="L37" i="19"/>
  <c r="D36" i="19"/>
  <c r="D35" i="19"/>
  <c r="D34" i="19"/>
  <c r="C34" i="19"/>
  <c r="B34" i="19"/>
  <c r="V32" i="19"/>
  <c r="U32" i="19"/>
  <c r="S32" i="19"/>
  <c r="X32" i="19" s="1"/>
  <c r="R32" i="19"/>
  <c r="Q32" i="19"/>
  <c r="V31" i="19"/>
  <c r="U31" i="19"/>
  <c r="S31" i="19"/>
  <c r="X31" i="19" s="1"/>
  <c r="R31" i="19"/>
  <c r="Q31" i="19"/>
  <c r="T28" i="19"/>
  <c r="R28" i="19"/>
  <c r="Q28" i="19"/>
  <c r="J28" i="19"/>
  <c r="D28" i="19"/>
  <c r="T27" i="19"/>
  <c r="R27" i="19"/>
  <c r="Q27" i="19"/>
  <c r="J27" i="19"/>
  <c r="D27" i="19"/>
  <c r="U26" i="19"/>
  <c r="M26" i="19"/>
  <c r="L26" i="19"/>
  <c r="H26" i="19"/>
  <c r="D25" i="19"/>
  <c r="C25" i="19"/>
  <c r="B25" i="19"/>
  <c r="D18" i="19"/>
  <c r="G18" i="19" s="1"/>
  <c r="D17" i="19"/>
  <c r="G17" i="19" s="1"/>
  <c r="D16" i="19"/>
  <c r="C16" i="19"/>
  <c r="B16" i="19"/>
  <c r="L13" i="19"/>
  <c r="D12" i="19"/>
  <c r="D11" i="19"/>
  <c r="D10" i="19"/>
  <c r="C10" i="19"/>
  <c r="B10" i="19"/>
  <c r="T8" i="19"/>
  <c r="R8" i="19"/>
  <c r="Q8" i="19"/>
  <c r="J8" i="19"/>
  <c r="D8" i="19"/>
  <c r="T7" i="19"/>
  <c r="R7" i="19"/>
  <c r="Q7" i="19"/>
  <c r="J7" i="19"/>
  <c r="D7" i="19"/>
  <c r="U6" i="19"/>
  <c r="U28" i="19" s="1"/>
  <c r="M6" i="19"/>
  <c r="M8" i="19" s="1"/>
  <c r="L6" i="19"/>
  <c r="H6" i="19"/>
  <c r="D5" i="19"/>
  <c r="C5" i="19"/>
  <c r="B5" i="19"/>
  <c r="B43" i="18"/>
  <c r="E43" i="18" s="1"/>
  <c r="C43" i="18"/>
  <c r="F43" i="18" s="1"/>
  <c r="C42" i="18"/>
  <c r="F42" i="18" s="1"/>
  <c r="B42" i="18"/>
  <c r="E42" i="18" s="1"/>
  <c r="B33" i="18"/>
  <c r="I33" i="18" s="1"/>
  <c r="C33" i="18"/>
  <c r="F33" i="18" s="1"/>
  <c r="O33" i="18" s="1"/>
  <c r="C32" i="18"/>
  <c r="F32" i="18" s="1"/>
  <c r="O32" i="18" s="1"/>
  <c r="B32" i="18"/>
  <c r="I32" i="18" s="1"/>
  <c r="B24" i="18"/>
  <c r="B37" i="18" s="1"/>
  <c r="C24" i="18"/>
  <c r="F24" i="18" s="1"/>
  <c r="P24" i="18" s="1"/>
  <c r="C23" i="18"/>
  <c r="C36" i="18" s="1"/>
  <c r="B23" i="18"/>
  <c r="B36" i="18" s="1"/>
  <c r="B19" i="18"/>
  <c r="E19" i="18" s="1"/>
  <c r="C19" i="18"/>
  <c r="F19" i="18" s="1"/>
  <c r="C18" i="18"/>
  <c r="F18" i="18" s="1"/>
  <c r="B18" i="18"/>
  <c r="E18" i="18" s="1"/>
  <c r="C4" i="18"/>
  <c r="C9" i="18" s="1"/>
  <c r="B4" i="18"/>
  <c r="B9" i="18" s="1"/>
  <c r="C2" i="18"/>
  <c r="C12" i="18" s="1"/>
  <c r="B2" i="18"/>
  <c r="B12" i="18" s="1"/>
  <c r="D43" i="18"/>
  <c r="G43" i="18" s="1"/>
  <c r="D42" i="18"/>
  <c r="G42" i="18" s="1"/>
  <c r="D41" i="18"/>
  <c r="C41" i="18"/>
  <c r="B41" i="18"/>
  <c r="L38" i="18"/>
  <c r="D37" i="18"/>
  <c r="D36" i="18"/>
  <c r="D35" i="18"/>
  <c r="C35" i="18"/>
  <c r="B35" i="18"/>
  <c r="V33" i="18"/>
  <c r="U33" i="18"/>
  <c r="S33" i="18"/>
  <c r="X33" i="18" s="1"/>
  <c r="R33" i="18"/>
  <c r="Q33" i="18"/>
  <c r="V32" i="18"/>
  <c r="U32" i="18"/>
  <c r="S32" i="18"/>
  <c r="X32" i="18" s="1"/>
  <c r="R32" i="18"/>
  <c r="Q32" i="18"/>
  <c r="T29" i="18"/>
  <c r="R29" i="18"/>
  <c r="Q29" i="18"/>
  <c r="J29" i="18"/>
  <c r="D29" i="18"/>
  <c r="T28" i="18"/>
  <c r="R28" i="18"/>
  <c r="Q28" i="18"/>
  <c r="J28" i="18"/>
  <c r="D28" i="18"/>
  <c r="U27" i="18"/>
  <c r="M27" i="18"/>
  <c r="L27" i="18"/>
  <c r="H27" i="18"/>
  <c r="D26" i="18"/>
  <c r="C26" i="18"/>
  <c r="B26" i="18"/>
  <c r="D19" i="18"/>
  <c r="G19" i="18" s="1"/>
  <c r="D18" i="18"/>
  <c r="G18" i="18" s="1"/>
  <c r="D17" i="18"/>
  <c r="C17" i="18"/>
  <c r="B17" i="18"/>
  <c r="L14" i="18"/>
  <c r="D13" i="18"/>
  <c r="D12" i="18"/>
  <c r="D11" i="18"/>
  <c r="C11" i="18"/>
  <c r="B11" i="18"/>
  <c r="T9" i="18"/>
  <c r="R9" i="18"/>
  <c r="Q9" i="18"/>
  <c r="J9" i="18"/>
  <c r="D9" i="18"/>
  <c r="T8" i="18"/>
  <c r="R8" i="18"/>
  <c r="Q8" i="18"/>
  <c r="J8" i="18"/>
  <c r="D8" i="18"/>
  <c r="U7" i="18"/>
  <c r="U28" i="18" s="1"/>
  <c r="M7" i="18"/>
  <c r="M8" i="18" s="1"/>
  <c r="L7" i="18"/>
  <c r="H7" i="18"/>
  <c r="D6" i="18"/>
  <c r="C6" i="18"/>
  <c r="B6" i="18"/>
  <c r="N31" i="19"/>
  <c r="N32" i="19"/>
  <c r="M28" i="19"/>
  <c r="U7" i="19"/>
  <c r="B12" i="19"/>
  <c r="U27" i="19"/>
  <c r="M7" i="19"/>
  <c r="U8" i="19"/>
  <c r="M27" i="19"/>
  <c r="U9" i="18"/>
  <c r="M9" i="18"/>
  <c r="D26" i="11"/>
  <c r="D27" i="11"/>
  <c r="D28" i="11"/>
  <c r="D29" i="11"/>
  <c r="D30" i="11"/>
  <c r="D31" i="11"/>
  <c r="D32" i="11"/>
  <c r="D33" i="11"/>
  <c r="D34" i="11"/>
  <c r="D35" i="11"/>
  <c r="D36" i="11"/>
  <c r="D37" i="11"/>
  <c r="D38" i="11"/>
  <c r="D18" i="11"/>
  <c r="D19" i="11"/>
  <c r="D20" i="11"/>
  <c r="D21" i="11"/>
  <c r="D22" i="11"/>
  <c r="D25" i="11"/>
  <c r="D17" i="11"/>
  <c r="D10" i="11"/>
  <c r="D11" i="11"/>
  <c r="D12" i="11"/>
  <c r="D13" i="11"/>
  <c r="D14" i="11"/>
  <c r="D9" i="11"/>
  <c r="D42" i="10"/>
  <c r="D41" i="10"/>
  <c r="D40" i="10"/>
  <c r="D39" i="10"/>
  <c r="D38" i="10"/>
  <c r="D37" i="10"/>
  <c r="D36" i="10"/>
  <c r="D35" i="10"/>
  <c r="D34" i="10"/>
  <c r="D33" i="10"/>
  <c r="D32" i="10"/>
  <c r="D31" i="10"/>
  <c r="D30" i="10"/>
  <c r="D29" i="10"/>
  <c r="D28" i="10"/>
  <c r="D27" i="10"/>
  <c r="D24" i="10"/>
  <c r="D23" i="10"/>
  <c r="D22" i="10"/>
  <c r="D21" i="10"/>
  <c r="D20" i="10"/>
  <c r="D19" i="10"/>
  <c r="D18" i="10"/>
  <c r="D17" i="10"/>
  <c r="D16" i="10"/>
  <c r="D15" i="10"/>
  <c r="D12" i="10"/>
  <c r="D11" i="10"/>
  <c r="D10" i="10"/>
  <c r="D9" i="10"/>
  <c r="D8" i="10"/>
  <c r="D7" i="10"/>
  <c r="D20" i="8"/>
  <c r="D19" i="8"/>
  <c r="D18" i="8"/>
  <c r="D17" i="8"/>
  <c r="D16" i="8"/>
  <c r="D15" i="8"/>
  <c r="D8" i="8"/>
  <c r="D9" i="8"/>
  <c r="D10" i="8"/>
  <c r="D11" i="8"/>
  <c r="D12" i="8"/>
  <c r="D7" i="8"/>
  <c r="D24" i="8"/>
  <c r="D25" i="8"/>
  <c r="D26" i="8"/>
  <c r="D27" i="8"/>
  <c r="D28" i="8"/>
  <c r="D29" i="8"/>
  <c r="D30" i="8"/>
  <c r="D31" i="8"/>
  <c r="D32" i="8"/>
  <c r="D33" i="8"/>
  <c r="D34" i="8"/>
  <c r="D35" i="8"/>
  <c r="D36" i="8"/>
  <c r="D23" i="8"/>
  <c r="D27" i="4"/>
  <c r="D28" i="4"/>
  <c r="D29" i="4"/>
  <c r="D30" i="4"/>
  <c r="D31" i="4"/>
  <c r="D32" i="4"/>
  <c r="D33" i="4"/>
  <c r="D34" i="4"/>
  <c r="D35" i="4"/>
  <c r="D36" i="4"/>
  <c r="D37" i="4"/>
  <c r="D38" i="4"/>
  <c r="D39" i="4"/>
  <c r="D40" i="4"/>
  <c r="D41" i="4"/>
  <c r="D26" i="4"/>
  <c r="D15" i="4"/>
  <c r="D16" i="4"/>
  <c r="D17" i="4"/>
  <c r="D18" i="4"/>
  <c r="D19" i="4"/>
  <c r="D20" i="4"/>
  <c r="D21" i="4"/>
  <c r="D22" i="4"/>
  <c r="D23" i="4"/>
  <c r="D14" i="4"/>
  <c r="D7" i="4"/>
  <c r="D8" i="4"/>
  <c r="D9" i="4"/>
  <c r="D10" i="4"/>
  <c r="D11" i="4"/>
  <c r="D6" i="4"/>
  <c r="U29" i="18" l="1"/>
  <c r="U8" i="18"/>
  <c r="P32" i="19"/>
  <c r="C12" i="19"/>
  <c r="B13" i="18"/>
  <c r="I2" i="18"/>
  <c r="E2" i="18" s="1"/>
  <c r="J2" i="18" s="1"/>
  <c r="K2" i="18" s="1"/>
  <c r="M2" i="18" s="1"/>
  <c r="Q2" i="18" s="1"/>
  <c r="K8" i="18" s="1"/>
  <c r="I24" i="18"/>
  <c r="F29" i="18" s="1"/>
  <c r="C28" i="18"/>
  <c r="H32" i="18"/>
  <c r="AC26" i="18" s="1"/>
  <c r="N32" i="18" s="1"/>
  <c r="H31" i="19"/>
  <c r="B11" i="19"/>
  <c r="I22" i="19"/>
  <c r="C8" i="19"/>
  <c r="N8" i="19" s="1"/>
  <c r="F22" i="19"/>
  <c r="P22" i="19" s="1"/>
  <c r="C27" i="19"/>
  <c r="H2" i="19"/>
  <c r="P31" i="19"/>
  <c r="I3" i="19"/>
  <c r="E3" i="19" s="1"/>
  <c r="J3" i="19" s="1"/>
  <c r="K3" i="19" s="1"/>
  <c r="M3" i="19" s="1"/>
  <c r="G8" i="19" s="1"/>
  <c r="B35" i="19"/>
  <c r="I2" i="19"/>
  <c r="E2" i="19" s="1"/>
  <c r="J2" i="19" s="1"/>
  <c r="K2" i="19" s="1"/>
  <c r="M2" i="19" s="1"/>
  <c r="G7" i="19" s="1"/>
  <c r="G31" i="19"/>
  <c r="F35" i="19" s="1"/>
  <c r="H35" i="19" s="1"/>
  <c r="H11" i="14" s="1"/>
  <c r="I11" i="14" s="1"/>
  <c r="F23" i="19"/>
  <c r="P23" i="19" s="1"/>
  <c r="C28" i="19"/>
  <c r="H3" i="19"/>
  <c r="J22" i="19"/>
  <c r="E22" i="19" s="1"/>
  <c r="K22" i="19" s="1"/>
  <c r="L22" i="19" s="1"/>
  <c r="N22" i="19" s="1"/>
  <c r="C7" i="19"/>
  <c r="N7" i="19" s="1"/>
  <c r="N27" i="19"/>
  <c r="C11" i="19"/>
  <c r="J24" i="18"/>
  <c r="E24" i="18" s="1"/>
  <c r="K24" i="18" s="1"/>
  <c r="L24" i="18" s="1"/>
  <c r="N24" i="18" s="1"/>
  <c r="H24" i="18" s="1"/>
  <c r="H33" i="18"/>
  <c r="AC27" i="18" s="1"/>
  <c r="N33" i="18" s="1"/>
  <c r="P33" i="18" s="1"/>
  <c r="J23" i="18"/>
  <c r="E23" i="18" s="1"/>
  <c r="K23" i="18" s="1"/>
  <c r="L23" i="18" s="1"/>
  <c r="N23" i="18" s="1"/>
  <c r="B29" i="18"/>
  <c r="C13" i="18"/>
  <c r="I4" i="18"/>
  <c r="E4" i="18" s="1"/>
  <c r="J4" i="18" s="1"/>
  <c r="K4" i="18" s="1"/>
  <c r="M4" i="18" s="1"/>
  <c r="V4" i="18" s="1"/>
  <c r="P9" i="18" s="1"/>
  <c r="H4" i="18"/>
  <c r="AD12" i="18" s="1"/>
  <c r="N4" i="18" s="1"/>
  <c r="F4" i="18"/>
  <c r="O4" i="18" s="1"/>
  <c r="B28" i="18"/>
  <c r="F23" i="18"/>
  <c r="P23" i="18" s="1"/>
  <c r="H2" i="18"/>
  <c r="I23" i="18"/>
  <c r="AD26" i="18" s="1"/>
  <c r="O23" i="18" s="1"/>
  <c r="S23" i="18" s="1"/>
  <c r="L28" i="18" s="1"/>
  <c r="P32" i="18"/>
  <c r="B8" i="18"/>
  <c r="E33" i="18"/>
  <c r="J33" i="18" s="1"/>
  <c r="K33" i="18" s="1"/>
  <c r="M33" i="18" s="1"/>
  <c r="G33" i="18" s="1"/>
  <c r="F37" i="18" s="1"/>
  <c r="H37" i="18" s="1"/>
  <c r="O11" i="13" s="1"/>
  <c r="C29" i="18"/>
  <c r="F2" i="18"/>
  <c r="O2" i="18" s="1"/>
  <c r="C8" i="18"/>
  <c r="N9" i="18"/>
  <c r="B28" i="19"/>
  <c r="I23" i="19"/>
  <c r="H32" i="19"/>
  <c r="J23" i="19"/>
  <c r="E23" i="19" s="1"/>
  <c r="K23" i="19" s="1"/>
  <c r="L23" i="19" s="1"/>
  <c r="N23" i="19" s="1"/>
  <c r="E32" i="18"/>
  <c r="J32" i="18" s="1"/>
  <c r="K32" i="18" s="1"/>
  <c r="M32" i="18" s="1"/>
  <c r="G32" i="18" s="1"/>
  <c r="F36" i="18" s="1"/>
  <c r="H36" i="18" s="1"/>
  <c r="O10" i="13" s="1"/>
  <c r="E32" i="19"/>
  <c r="J32" i="19" s="1"/>
  <c r="K32" i="19" s="1"/>
  <c r="M32" i="19" s="1"/>
  <c r="G32" i="19" s="1"/>
  <c r="F36" i="19" s="1"/>
  <c r="H36" i="19" s="1"/>
  <c r="H12" i="14" s="1"/>
  <c r="I12" i="14" s="1"/>
  <c r="M29" i="18"/>
  <c r="M28" i="18"/>
  <c r="F28" i="18"/>
  <c r="C37" i="18"/>
  <c r="N28" i="18" l="1"/>
  <c r="H22" i="19"/>
  <c r="N28" i="19"/>
  <c r="Q2" i="19"/>
  <c r="U2" i="18"/>
  <c r="O8" i="18" s="1"/>
  <c r="V2" i="18"/>
  <c r="P8" i="18" s="1"/>
  <c r="G8" i="18"/>
  <c r="AD27" i="18"/>
  <c r="O24" i="18" s="1"/>
  <c r="S24" i="18" s="1"/>
  <c r="L29" i="18" s="1"/>
  <c r="G24" i="18"/>
  <c r="E29" i="18" s="1"/>
  <c r="G29" i="18"/>
  <c r="W24" i="18"/>
  <c r="P29" i="18" s="1"/>
  <c r="R24" i="18"/>
  <c r="K29" i="18" s="1"/>
  <c r="V24" i="18"/>
  <c r="O29" i="18" s="1"/>
  <c r="H23" i="18"/>
  <c r="Q23" i="18"/>
  <c r="H28" i="18" s="1"/>
  <c r="F27" i="19"/>
  <c r="Y22" i="19"/>
  <c r="O22" i="19" s="1"/>
  <c r="P4" i="18"/>
  <c r="H9" i="18" s="1"/>
  <c r="I9" i="18"/>
  <c r="G4" i="18"/>
  <c r="E9" i="18" s="1"/>
  <c r="Q4" i="18"/>
  <c r="K9" i="18" s="1"/>
  <c r="G2" i="18"/>
  <c r="F12" i="18" s="1"/>
  <c r="H12" i="18" s="1"/>
  <c r="O8" i="13" s="1"/>
  <c r="N8" i="18"/>
  <c r="F7" i="19"/>
  <c r="Y2" i="19"/>
  <c r="N2" i="19" s="1"/>
  <c r="G3" i="19"/>
  <c r="E8" i="19" s="1"/>
  <c r="Q3" i="19"/>
  <c r="U3" i="19" s="1"/>
  <c r="G2" i="19"/>
  <c r="E7" i="19" s="1"/>
  <c r="F8" i="19"/>
  <c r="Y3" i="19"/>
  <c r="N3" i="19" s="1"/>
  <c r="G27" i="19"/>
  <c r="R22" i="19"/>
  <c r="K27" i="19" s="1"/>
  <c r="G22" i="19"/>
  <c r="E27" i="19" s="1"/>
  <c r="R23" i="18"/>
  <c r="K28" i="18" s="1"/>
  <c r="U4" i="18"/>
  <c r="O9" i="18" s="1"/>
  <c r="S4" i="18"/>
  <c r="X4" i="18" s="1"/>
  <c r="V9" i="18" s="1"/>
  <c r="V23" i="18"/>
  <c r="O28" i="18" s="1"/>
  <c r="G9" i="18"/>
  <c r="I28" i="18"/>
  <c r="G28" i="18"/>
  <c r="G23" i="18"/>
  <c r="E28" i="18" s="1"/>
  <c r="T23" i="18"/>
  <c r="Y23" i="18" s="1"/>
  <c r="V28" i="18" s="1"/>
  <c r="R4" i="18"/>
  <c r="L9" i="18" s="1"/>
  <c r="W23" i="18"/>
  <c r="P28" i="18" s="1"/>
  <c r="F9" i="18"/>
  <c r="N29" i="18"/>
  <c r="F8" i="18"/>
  <c r="AD10" i="18"/>
  <c r="N2" i="18" s="1"/>
  <c r="P2" i="18" s="1"/>
  <c r="H8" i="18" s="1"/>
  <c r="P11" i="13"/>
  <c r="M11" i="13"/>
  <c r="N11" i="13" s="1"/>
  <c r="Y23" i="19"/>
  <c r="O23" i="19" s="1"/>
  <c r="F28" i="19"/>
  <c r="G23" i="19"/>
  <c r="E28" i="19" s="1"/>
  <c r="H23" i="19"/>
  <c r="R23" i="19"/>
  <c r="G28" i="19"/>
  <c r="F11" i="19"/>
  <c r="H11" i="19" s="1"/>
  <c r="H9" i="14" s="1"/>
  <c r="I9" i="14" s="1"/>
  <c r="M10" i="13"/>
  <c r="N10" i="13" s="1"/>
  <c r="P10" i="13"/>
  <c r="K7" i="19"/>
  <c r="U2" i="19"/>
  <c r="W22" i="19" l="1"/>
  <c r="P27" i="19" s="1"/>
  <c r="V22" i="19"/>
  <c r="O27" i="19" s="1"/>
  <c r="W28" i="18"/>
  <c r="X28" i="18" s="1"/>
  <c r="Y28" i="18" s="1"/>
  <c r="Z28" i="18" s="1"/>
  <c r="G10" i="13" s="1"/>
  <c r="F12" i="19"/>
  <c r="H12" i="19" s="1"/>
  <c r="H10" i="14" s="1"/>
  <c r="I10" i="14" s="1"/>
  <c r="Q24" i="18"/>
  <c r="H29" i="18" s="1"/>
  <c r="I29" i="18"/>
  <c r="T24" i="18"/>
  <c r="Y24" i="18" s="1"/>
  <c r="V29" i="18" s="1"/>
  <c r="E8" i="18"/>
  <c r="K8" i="19"/>
  <c r="Q22" i="19"/>
  <c r="H27" i="19" s="1"/>
  <c r="S22" i="19"/>
  <c r="L27" i="19" s="1"/>
  <c r="I27" i="19"/>
  <c r="T22" i="19"/>
  <c r="V27" i="19" s="1"/>
  <c r="F13" i="18"/>
  <c r="H13" i="18" s="1"/>
  <c r="O9" i="13" s="1"/>
  <c r="M9" i="13" s="1"/>
  <c r="N9" i="13" s="1"/>
  <c r="P2" i="19"/>
  <c r="H7" i="19" s="1"/>
  <c r="R2" i="19"/>
  <c r="I7" i="19"/>
  <c r="P3" i="19"/>
  <c r="H8" i="19" s="1"/>
  <c r="R3" i="19"/>
  <c r="I8" i="19"/>
  <c r="R2" i="18"/>
  <c r="L8" i="18" s="1"/>
  <c r="I8" i="18"/>
  <c r="S2" i="18"/>
  <c r="X2" i="18" s="1"/>
  <c r="V8" i="18" s="1"/>
  <c r="W9" i="18"/>
  <c r="AF3" i="18" s="1"/>
  <c r="AG3" i="18" s="1"/>
  <c r="G9" i="13" s="1"/>
  <c r="I28" i="19"/>
  <c r="T23" i="19"/>
  <c r="V28" i="19" s="1"/>
  <c r="Q23" i="19"/>
  <c r="H28" i="19" s="1"/>
  <c r="S23" i="19"/>
  <c r="L28" i="19" s="1"/>
  <c r="O7" i="19"/>
  <c r="V2" i="19"/>
  <c r="P7" i="19" s="1"/>
  <c r="P8" i="13"/>
  <c r="M8" i="13"/>
  <c r="N8" i="13" s="1"/>
  <c r="V23" i="19"/>
  <c r="O28" i="19" s="1"/>
  <c r="K28" i="19"/>
  <c r="W23" i="19"/>
  <c r="P28" i="19" s="1"/>
  <c r="O8" i="19"/>
  <c r="V3" i="19"/>
  <c r="P8" i="19" s="1"/>
  <c r="F10" i="13" l="1"/>
  <c r="H10" i="13"/>
  <c r="F9" i="13"/>
  <c r="J9" i="13"/>
  <c r="H9" i="13"/>
  <c r="W27" i="19"/>
  <c r="X27" i="19" s="1"/>
  <c r="Y27" i="19" s="1"/>
  <c r="Z27" i="19" s="1"/>
  <c r="AA27" i="19" s="1"/>
  <c r="W29" i="18"/>
  <c r="X29" i="18" s="1"/>
  <c r="Y29" i="18" s="1"/>
  <c r="Z29" i="18" s="1"/>
  <c r="G11" i="13" s="1"/>
  <c r="AB28" i="18"/>
  <c r="P9" i="13"/>
  <c r="AB27" i="19"/>
  <c r="L7" i="19"/>
  <c r="S2" i="19"/>
  <c r="X2" i="19" s="1"/>
  <c r="V7" i="19" s="1"/>
  <c r="L8" i="19"/>
  <c r="S3" i="19"/>
  <c r="X3" i="19" s="1"/>
  <c r="V8" i="19" s="1"/>
  <c r="W28" i="19"/>
  <c r="X28" i="19" s="1"/>
  <c r="Y28" i="19" s="1"/>
  <c r="Z28" i="19" s="1"/>
  <c r="AA28" i="19" s="1"/>
  <c r="W8" i="18"/>
  <c r="AF2" i="18" s="1"/>
  <c r="AG2" i="18" s="1"/>
  <c r="G8" i="13" s="1"/>
  <c r="AA28" i="18"/>
  <c r="J10" i="13" s="1"/>
  <c r="F11" i="13" l="1"/>
  <c r="H11" i="13"/>
  <c r="F8" i="13"/>
  <c r="J8" i="13"/>
  <c r="H8" i="13"/>
  <c r="AB29" i="18"/>
  <c r="W8" i="19"/>
  <c r="AA3" i="19" s="1"/>
  <c r="AB3" i="19" s="1"/>
  <c r="AA29" i="18"/>
  <c r="J11" i="13" s="1"/>
  <c r="W7" i="19"/>
  <c r="AA2" i="19" s="1"/>
  <c r="AB2" i="19" s="1"/>
  <c r="AB28" i="19"/>
</calcChain>
</file>

<file path=xl/sharedStrings.xml><?xml version="1.0" encoding="utf-8"?>
<sst xmlns="http://schemas.openxmlformats.org/spreadsheetml/2006/main" count="847" uniqueCount="316">
  <si>
    <t>Output</t>
  </si>
  <si>
    <t>Btu's/Hr</t>
  </si>
  <si>
    <t>Dimensions (mm)</t>
  </si>
  <si>
    <t>600x800x50</t>
  </si>
  <si>
    <t>600x1200x50</t>
  </si>
  <si>
    <t>600x1600x50</t>
  </si>
  <si>
    <t>600x800x95</t>
  </si>
  <si>
    <t>24180S</t>
  </si>
  <si>
    <t>43180S</t>
  </si>
  <si>
    <t>24180D</t>
  </si>
  <si>
    <t>43180D</t>
  </si>
  <si>
    <t>1800x240x50</t>
  </si>
  <si>
    <t>1800x430x50</t>
  </si>
  <si>
    <t>1800x240x95</t>
  </si>
  <si>
    <t>1800x430x95</t>
  </si>
  <si>
    <t>10043D</t>
    <phoneticPr fontId="6" type="noConversion"/>
  </si>
  <si>
    <t>No of sections</t>
  </si>
  <si>
    <t>£</t>
  </si>
  <si>
    <t>W</t>
  </si>
  <si>
    <t xml:space="preserve">Output </t>
  </si>
  <si>
    <t>6060S</t>
  </si>
  <si>
    <t>600x600x50</t>
  </si>
  <si>
    <t>8080S</t>
  </si>
  <si>
    <t>800x800x50</t>
  </si>
  <si>
    <t>100100S</t>
  </si>
  <si>
    <t>1000x1000x50</t>
  </si>
  <si>
    <t>6060D</t>
  </si>
  <si>
    <t>600x600x95</t>
  </si>
  <si>
    <t>8080D</t>
  </si>
  <si>
    <t>800x800x95</t>
  </si>
  <si>
    <t>100100D</t>
  </si>
  <si>
    <t>1000x1000x95</t>
  </si>
  <si>
    <t>24150S</t>
  </si>
  <si>
    <t>240x1500x50</t>
  </si>
  <si>
    <t>240x2000x50</t>
  </si>
  <si>
    <t>43100S</t>
  </si>
  <si>
    <t>430x1000x50</t>
  </si>
  <si>
    <t>43150S</t>
  </si>
  <si>
    <t>430x1500x50</t>
  </si>
  <si>
    <t>430x2000x50</t>
  </si>
  <si>
    <t>24150D</t>
  </si>
  <si>
    <t>240x1500x95</t>
  </si>
  <si>
    <t>240x2000x95</t>
  </si>
  <si>
    <t>43100D</t>
  </si>
  <si>
    <t>430x1000x95</t>
  </si>
  <si>
    <t>43150D</t>
  </si>
  <si>
    <t>430x1500x95</t>
  </si>
  <si>
    <t>430x2000x95</t>
  </si>
  <si>
    <t>15024S</t>
  </si>
  <si>
    <t>1500x240x50</t>
  </si>
  <si>
    <t>20024S</t>
  </si>
  <si>
    <t>10043S</t>
  </si>
  <si>
    <t>1000x430x50</t>
  </si>
  <si>
    <t>15043S</t>
  </si>
  <si>
    <t>1500x430x50</t>
  </si>
  <si>
    <t>20043S</t>
  </si>
  <si>
    <t>15024D</t>
  </si>
  <si>
    <t>1500x240x95</t>
  </si>
  <si>
    <t>20024D</t>
  </si>
  <si>
    <t>1000x430x95</t>
  </si>
  <si>
    <t>15043D</t>
  </si>
  <si>
    <t>1500x430x95</t>
  </si>
  <si>
    <t>20043D</t>
  </si>
  <si>
    <t>8060S</t>
  </si>
  <si>
    <t>12060S</t>
  </si>
  <si>
    <t>16060S</t>
  </si>
  <si>
    <t>8060D</t>
  </si>
  <si>
    <t>12060D</t>
  </si>
  <si>
    <t>16060D</t>
  </si>
  <si>
    <t>600x1200x95</t>
  </si>
  <si>
    <t>600x1600x95</t>
  </si>
  <si>
    <t>www.eskimodesign.co.uk</t>
  </si>
  <si>
    <t>All Eskimo products are manufactured in the UK</t>
  </si>
  <si>
    <t>Connections are 1/2" BSP opposite end underside unless otherwise specified</t>
  </si>
  <si>
    <t>All heat outputs in this list are calculated in accordance with BS EN442, based on a Delta T of 60ºC - for an explanation of this and to calculate performance at different Delta Ts please see the technical pages in the brochure or on the website.</t>
  </si>
  <si>
    <t>Eskimo Products Ltd, Valepits Road, Garretts Green, Birmingham, B33 0TD, UK</t>
  </si>
  <si>
    <t>20060S</t>
  </si>
  <si>
    <t>600x2000x50</t>
  </si>
  <si>
    <t>20060D</t>
  </si>
  <si>
    <t>600x2000x95</t>
  </si>
  <si>
    <t>watts</t>
  </si>
  <si>
    <t>62.462.4S</t>
  </si>
  <si>
    <t>624x624x61</t>
  </si>
  <si>
    <t>82.482.4S</t>
  </si>
  <si>
    <t>824x824x61</t>
  </si>
  <si>
    <t>102.4102.4S</t>
  </si>
  <si>
    <t>1024x1024x61</t>
  </si>
  <si>
    <t>62.462.4D</t>
  </si>
  <si>
    <t>624x624x106</t>
  </si>
  <si>
    <t>82.482.4D</t>
  </si>
  <si>
    <t>824x824x106</t>
  </si>
  <si>
    <t>102.4102.4D</t>
  </si>
  <si>
    <t>1024x1024x106</t>
  </si>
  <si>
    <t>26.4152.4S</t>
  </si>
  <si>
    <t>1524x264x61</t>
  </si>
  <si>
    <t>26.4182.4S</t>
  </si>
  <si>
    <t>1824x264x61</t>
  </si>
  <si>
    <t>45.4102.4S</t>
  </si>
  <si>
    <t>1024x454x61</t>
  </si>
  <si>
    <t>45.4152.4S</t>
  </si>
  <si>
    <t>1524x454x61</t>
  </si>
  <si>
    <t>45.4182.4S</t>
  </si>
  <si>
    <t>1824x454x61</t>
  </si>
  <si>
    <t>26.4152.4D</t>
  </si>
  <si>
    <t>1524x264x106</t>
  </si>
  <si>
    <t>26.4182.4D</t>
  </si>
  <si>
    <t>1824x264x106</t>
  </si>
  <si>
    <t>45.4102.4D</t>
  </si>
  <si>
    <t>1024x454x106</t>
  </si>
  <si>
    <t>45.4152.4D</t>
  </si>
  <si>
    <t>1524x454x106</t>
  </si>
  <si>
    <t>45.4182.4D</t>
  </si>
  <si>
    <t>1824x454x106</t>
  </si>
  <si>
    <t>152.426.4S</t>
  </si>
  <si>
    <t>264x1524x61</t>
  </si>
  <si>
    <t>202.426.4S</t>
  </si>
  <si>
    <t>264x2024x61</t>
  </si>
  <si>
    <t>102.445.4S</t>
  </si>
  <si>
    <t>454x1024x61</t>
  </si>
  <si>
    <t>152.445.4S</t>
  </si>
  <si>
    <t>454x1524x61</t>
  </si>
  <si>
    <t>202.445.4S</t>
  </si>
  <si>
    <t>454x2024x61</t>
  </si>
  <si>
    <t>152.426.4D</t>
  </si>
  <si>
    <t>264x1524x106</t>
  </si>
  <si>
    <t>202.426.4D</t>
  </si>
  <si>
    <t>264x2024x106</t>
  </si>
  <si>
    <t>102.445.4D</t>
  </si>
  <si>
    <t>454x1024x106</t>
  </si>
  <si>
    <t>152.445.4D</t>
  </si>
  <si>
    <t>454x1524x106</t>
  </si>
  <si>
    <t>202.445.4D</t>
  </si>
  <si>
    <t>454x2024x106</t>
  </si>
  <si>
    <t>82.462.4S</t>
  </si>
  <si>
    <t>624x824x61</t>
  </si>
  <si>
    <t>122.462.4S</t>
  </si>
  <si>
    <t>624x1224x61</t>
  </si>
  <si>
    <t>162.462.4S</t>
  </si>
  <si>
    <t>624x1624x61</t>
  </si>
  <si>
    <t>82.462.4D</t>
  </si>
  <si>
    <t>624x824x106</t>
  </si>
  <si>
    <t>122.462.4D</t>
  </si>
  <si>
    <t>624x1224x106</t>
  </si>
  <si>
    <t>162.462.4D</t>
  </si>
  <si>
    <t>624x1624x106</t>
  </si>
  <si>
    <t>102.462.4S</t>
  </si>
  <si>
    <t>624x1024x61</t>
  </si>
  <si>
    <t>152.462.4S</t>
  </si>
  <si>
    <t>624x1524x61</t>
  </si>
  <si>
    <t>202.462.4S</t>
  </si>
  <si>
    <t>624x2024x61</t>
  </si>
  <si>
    <t>102.462.4D</t>
  </si>
  <si>
    <t>624x1024x106</t>
  </si>
  <si>
    <t>152.462.4D</t>
  </si>
  <si>
    <t>624x1524x106</t>
  </si>
  <si>
    <t>202.462.4D</t>
  </si>
  <si>
    <t>624x2024x106</t>
  </si>
  <si>
    <r>
      <t xml:space="preserve">T </t>
    </r>
    <r>
      <rPr>
        <sz val="11"/>
        <rFont val="Arial"/>
        <family val="2"/>
      </rPr>
      <t xml:space="preserve">+44 (0)20 7117 0110 </t>
    </r>
    <r>
      <rPr>
        <sz val="11"/>
        <color indexed="10"/>
        <rFont val="Arial"/>
        <family val="2"/>
      </rPr>
      <t xml:space="preserve">E </t>
    </r>
    <r>
      <rPr>
        <sz val="11"/>
        <rFont val="Arial"/>
        <family val="2"/>
      </rPr>
      <t>sales@eskimodesign.co.uk</t>
    </r>
  </si>
  <si>
    <t>White RAL 9016 matt</t>
  </si>
  <si>
    <t>Part no.</t>
  </si>
  <si>
    <t>Delta T 60ºC</t>
  </si>
  <si>
    <t>Delta T 50ºC</t>
  </si>
  <si>
    <t>depth (z)</t>
  </si>
  <si>
    <t>Performance (watts)</t>
  </si>
  <si>
    <t>Performance (Btu/hr)</t>
  </si>
  <si>
    <t>Cost</t>
  </si>
  <si>
    <t>Shallow</t>
  </si>
  <si>
    <t>Deep</t>
  </si>
  <si>
    <t>Parts Calculator</t>
  </si>
  <si>
    <t>length (x)</t>
  </si>
  <si>
    <t>height (y)</t>
  </si>
  <si>
    <t>No of F8000 sections possible</t>
  </si>
  <si>
    <t>Length of each section</t>
  </si>
  <si>
    <t>Total Metres of F8000 used</t>
  </si>
  <si>
    <t>Cross tube overall length less X51 fittings</t>
  </si>
  <si>
    <t>Width of inside of panel</t>
  </si>
  <si>
    <t>Total width of extrusion assembly</t>
  </si>
  <si>
    <t>Gap at each end between panel and extrusion</t>
  </si>
  <si>
    <t>Minimum gap</t>
  </si>
  <si>
    <t>No. of F8000 sections after ensuring gap is large enough</t>
  </si>
  <si>
    <t>No. of tie bar positions</t>
  </si>
  <si>
    <t>Tie bar length</t>
  </si>
  <si>
    <t>Total metres of tie bar</t>
  </si>
  <si>
    <t>No. of X50s (ext tube)</t>
  </si>
  <si>
    <t>No. of X60s (steel lugs)</t>
  </si>
  <si>
    <t>No. of X61s (alum lugs)</t>
  </si>
  <si>
    <t>No of X51s (1/2" fittings)</t>
  </si>
  <si>
    <t xml:space="preserve">No of  X20 grommets </t>
  </si>
  <si>
    <t>No. of X21 nylon bushes</t>
  </si>
  <si>
    <t>No. of vents</t>
  </si>
  <si>
    <t>No. of capscrews</t>
  </si>
  <si>
    <t>Minimum no. of tie bars</t>
  </si>
  <si>
    <t>Cost Calculator</t>
  </si>
  <si>
    <t>Cost of F8000</t>
  </si>
  <si>
    <t>Cost of Cross Tube (X90) material</t>
  </si>
  <si>
    <t>m/c of crosstube holes</t>
  </si>
  <si>
    <t>tiebar material (X80)</t>
  </si>
  <si>
    <t>X80 machining</t>
  </si>
  <si>
    <t xml:space="preserve">welding of X90 to X51 </t>
  </si>
  <si>
    <t>X50</t>
  </si>
  <si>
    <t>X60 inc. mat</t>
  </si>
  <si>
    <t>X51 inc mat</t>
  </si>
  <si>
    <t>s/s panels inc. holes (piece price is per m2)</t>
  </si>
  <si>
    <t>Grommets X20</t>
  </si>
  <si>
    <t>Nylon Bushes X21</t>
  </si>
  <si>
    <t>test &amp; assembly</t>
  </si>
  <si>
    <t>logo</t>
  </si>
  <si>
    <t>polish &amp; pack</t>
  </si>
  <si>
    <t>vents X30</t>
  </si>
  <si>
    <t>vent plating</t>
  </si>
  <si>
    <t>capscrews</t>
  </si>
  <si>
    <t>Total</t>
  </si>
  <si>
    <t>Piece price</t>
  </si>
  <si>
    <t>Performance Calculator</t>
  </si>
  <si>
    <t>Perimeter of F8000 extrusion</t>
  </si>
  <si>
    <t>Surf. Area (disregarding plain tube)</t>
  </si>
  <si>
    <t>w/m2</t>
  </si>
  <si>
    <t>Output (w)</t>
  </si>
  <si>
    <t>Drawing Calculator</t>
  </si>
  <si>
    <t>GA dwg</t>
  </si>
  <si>
    <t>"X"</t>
  </si>
  <si>
    <t>"Y"</t>
  </si>
  <si>
    <t>"Z"</t>
  </si>
  <si>
    <t>shallow</t>
  </si>
  <si>
    <t>lie down</t>
  </si>
  <si>
    <t>get up</t>
  </si>
  <si>
    <t>oblong</t>
  </si>
  <si>
    <t>you square</t>
  </si>
  <si>
    <t>deep</t>
  </si>
  <si>
    <t>H x L x D</t>
  </si>
  <si>
    <t>All heat outputs in this list are calculated in accordance with BS EN442, based on a Delta T of 50ºC - for an explanation of this and to calculate performance at different Delta Ts please see the technical pages in the brochure or on the website.</t>
  </si>
  <si>
    <t>Column central heating radiator price list 2018 - excluding VAT</t>
  </si>
  <si>
    <t>Eskimo presents eskimolow, a collection of low cost beautiful radiators &amp; towel warmers</t>
  </si>
  <si>
    <t>See Eskimo standard finishes for a collection of high end, stunning finishes. Affordable designer radiators for the betterment of humanity</t>
  </si>
  <si>
    <t>W = watts</t>
  </si>
  <si>
    <t>PART NO.</t>
  </si>
  <si>
    <t>H X L X D (mm)</t>
  </si>
  <si>
    <t>YOU SQUARE (square orientation)</t>
  </si>
  <si>
    <t>GET UP (vertical orientation)</t>
  </si>
  <si>
    <t>LIE DOWN (horizontal orientation)</t>
  </si>
  <si>
    <t>All heat outputs in this list are calculated in accordance with BS EN442, based on a Delta T of 50ºC - for an explanation of this &amp; to calculate performance at different Delta Ts please see the technical pages in the brochure or on the website.</t>
  </si>
  <si>
    <t>The following spreadsheet allows you to calculate the performance and price for a bespoke eskimo Outline radiator, of rectangular or square shape. Eskimo radiators come in two standard depths, 50mm and 95mm - choose your depth first then simply enter the desired length and height in the dark shaded boxes and read across to the price and performance boxes. All measurements are in millimetres.</t>
  </si>
  <si>
    <t xml:space="preserve">Perfromance watts </t>
  </si>
  <si>
    <t>Performance Btu's/Hr</t>
  </si>
  <si>
    <t>HINGE &amp; BRACKET HIDDEN VALVES</t>
  </si>
  <si>
    <t>STANDARD BOTTOM END CONNECTIONS</t>
  </si>
  <si>
    <t>DEPTH</t>
  </si>
  <si>
    <t>LENGTH</t>
  </si>
  <si>
    <t>HEIGHT</t>
  </si>
  <si>
    <t>Please note that, as a product with natural variation, the size of these radiators can vary by + or - 3mm in each dimension</t>
  </si>
  <si>
    <t>The following spreadsheet allows you to calculate the performance and price for a bespoke eskimo Outline radiator, of rectangular or square shape. Eskimo radiators come in two standard depths, 61mm and 106mm - choose your depth first then simply enter the desired length and height in the dark shaded boxes and read across to the price and performance boxes. All measurements are in millimetres.</t>
  </si>
  <si>
    <t>Performance (watts) Delta T 50ºC</t>
  </si>
  <si>
    <t>Performance (Btu/hr) Delta T 50ºC</t>
  </si>
  <si>
    <t>HINGE &amp; BRACKET</t>
  </si>
  <si>
    <t>Eskimo Products Ltd, Unit 53, Spike Island, 133 Cumberland Rd, Bristol BS1 6UX. UK</t>
  </si>
  <si>
    <t>Eskimo Products Ltd, Unit 53, Spike Island, 133 Cumberland Rd, Bristol BS1 6UX UK</t>
  </si>
  <si>
    <t>Largest panel size for Outline radiators is 2200mm - for a 95mm D model / 2300mm - for a 50mm D model.</t>
  </si>
  <si>
    <t>Largest panel size for Outline radiators is 2224mm - for a 106mm D model / 2324mm - for a 61mm D model.</t>
  </si>
  <si>
    <t>GONG finishes cannot be controlled beyond the method that Eskimo have selected. Your GONG will be close to the colour and tone that you see in the pictures. However, the patination (pattern) can vary from a very subtle ‘speckles’ to more fluid ‘swirls’. Each GONG radiator is absolutely unique.</t>
  </si>
  <si>
    <t>T +44 (0)20 7117 0110 E sales@eskimodesign.co.uk</t>
  </si>
  <si>
    <t>OAK, MAGNETIC CHALKHOLDER FOR BLACKBOARD £</t>
  </si>
  <si>
    <t>All Eskimo products are designed &amp; manufactured in the UK, by Eskimo.</t>
  </si>
  <si>
    <t>RAL 9016 MATT TRAFFIC WHITE, BLACKBOARD £</t>
  </si>
  <si>
    <t>RUSTY £</t>
  </si>
  <si>
    <t xml:space="preserve">NB: as a product with natural variation, the size of these radiators can vary by + or - 3mm in each dimension	</t>
  </si>
  <si>
    <t>T +44 (0)20 7117 0110 E info@eskimodesign.co.uk</t>
  </si>
  <si>
    <t>WOODY, CLIFF &amp; CONCRETE £</t>
  </si>
  <si>
    <t>BAMBOO £</t>
  </si>
  <si>
    <t>HnB minimum width or height is 430mm / HV minimum width is 240mm but minimum height is 430mm / Largest panel size for Outline radiators is 2200mm - for a 95mm D model / 2300mm - for a 50mm D model.</t>
  </si>
  <si>
    <t>COLOUR / COLOUR MATCH £</t>
  </si>
  <si>
    <r>
      <t xml:space="preserve">H&amp;B OR NOT TO H&amp;B                     </t>
    </r>
    <r>
      <rPr>
        <sz val="10"/>
        <color theme="0"/>
        <rFont val="Century Gothic"/>
        <family val="1"/>
      </rPr>
      <t>(that is the question)</t>
    </r>
  </si>
  <si>
    <t>T +44 (0)20 7117 0110 E sales@eskimodesign.co.uk      
Eskimo Products Ltd, Unit 53, Spike Island, 133 Cumberland Rd, Bristol BS1 6UX. UK       
www.eskimodesign.co.uk</t>
  </si>
  <si>
    <t>All heat outputs in this list are calculated in accordance with BS EN442, based on a Delta T of 50ºC</t>
  </si>
  <si>
    <t>Depth is 97mm</t>
  </si>
  <si>
    <t>LENGTH OF RAIL (mm)</t>
  </si>
  <si>
    <t>HEIGHTS (mm)</t>
  </si>
  <si>
    <t>Pipe Centres (including 90mm for valves) (mm)</t>
  </si>
  <si>
    <t>LENGTHS (mm)</t>
  </si>
  <si>
    <t xml:space="preserve"> RAL 9016 MATT TRAFFIC WHITE / BLACKBOARD £</t>
  </si>
  <si>
    <t xml:space="preserve"> BRUSHED STAINLESS £</t>
  </si>
  <si>
    <t>GONG COPPER £</t>
  </si>
  <si>
    <r>
      <t xml:space="preserve">H&amp;B OR NOT TO H&amp;B?                     </t>
    </r>
    <r>
      <rPr>
        <sz val="11"/>
        <color theme="0"/>
        <rFont val="Century Gothic"/>
        <family val="1"/>
      </rPr>
      <t>(that is the question)</t>
    </r>
  </si>
  <si>
    <t>BRUSHED STAINLESS £</t>
  </si>
  <si>
    <t>GONG BRASS £</t>
  </si>
  <si>
    <t>SUPERMIRROR / BRASS £</t>
  </si>
  <si>
    <t xml:space="preserve"> RUSTY £</t>
  </si>
  <si>
    <t>SUPERMIRROR / BRASSY £</t>
  </si>
  <si>
    <t>SUPERMIRROR / BRASSY   £</t>
  </si>
  <si>
    <t>RAL 9016 MATT TRAFFIC WHITE Assemble to order sizes highlighted are 7 day assemble to order + delivery time - Everything else is 3 weeks.</t>
  </si>
  <si>
    <t>THE FRONZE Assemble to order sizes highlighted are 7 day assemble to order + delivery time - Everything else is 3 weeks.</t>
  </si>
  <si>
    <t>Hidden manual valve option + £144 (not accessible - on &amp; off with heating)</t>
  </si>
  <si>
    <t>Hidden manual valve option + £135 (not accessible - on &amp; off with heating)</t>
  </si>
  <si>
    <t>COLUMN RADIATORS - SIDE CONNECTION ONLY WATER MODELS. COLOUR FINISHES. RETAIL SIZE &amp; PRICE LIST MARCH 2024 (Exc. VAT)</t>
  </si>
  <si>
    <t>COLOURS / COLOUR MATCH - 4 weeks lead time</t>
  </si>
  <si>
    <t>OUTLINE RADIATORS - standard bottom end connection water models, colour &amp; metal finishes - RETAIL PRICES &amp; PART NUMBERS MARCH 2024 (exc. VAT)</t>
  </si>
  <si>
    <r>
      <rPr>
        <b/>
        <sz val="10"/>
        <color theme="0"/>
        <rFont val="Century Gothic"/>
        <family val="1"/>
      </rPr>
      <t>GONG COPPER</t>
    </r>
    <r>
      <rPr>
        <sz val="10"/>
        <color theme="0"/>
        <rFont val="Century Gothic"/>
        <family val="1"/>
      </rPr>
      <t xml:space="preserve"> </t>
    </r>
    <r>
      <rPr>
        <b/>
        <sz val="10"/>
        <color theme="0"/>
        <rFont val="Century Gothic"/>
        <family val="1"/>
      </rPr>
      <t>£</t>
    </r>
  </si>
  <si>
    <t>BESPOKE OUTLINE RADIATORS -  PRICE &amp; PERFORMANCE CALCULATOR MARCH 2024 - (exc. VAT)</t>
  </si>
  <si>
    <t xml:space="preserve">OUTLINE RADIATORS - incorporating Hinge &amp; Bracket concealed thermostatic valve system, colour &amp; metal finishes  - RETAIL PRICES &amp; PART NUMBERS MARCH 2024 (exc. VAT) </t>
  </si>
  <si>
    <t>OUTLINE RADIATORS - standard bottom end connection water models - RETAIL PRICES &amp; PART NUMBERS MARCH 2024 (exc. VAT)</t>
  </si>
  <si>
    <t>WOODY/ CLIFF /  CONCRETE £</t>
  </si>
  <si>
    <t>BESPOKE OUTLINE RADIATORS -  PRICE &amp; PERFORMANCE CALCULATOR MARCH 2024 (exc. VAT)</t>
  </si>
  <si>
    <t xml:space="preserve">OUTLINE RADIATORS - incorporating Hinge &amp; Bracket concealed thermostatic valve system, water models, veneer finishes  - RETAIL PRICES &amp; PART NUMBERS MARCH 2024 (exc. VAT) </t>
  </si>
  <si>
    <t>WOODY / CLIFF / CONCRETE £</t>
  </si>
  <si>
    <t>HEIGHT (mm)</t>
  </si>
  <si>
    <t>Feet and/or Jorba towel rails are also supplied within 7 days, if 7 day assemble to order Columns sizes are selected. Please note that only colour finishes are availble throughout for this range.</t>
  </si>
  <si>
    <t>THE JORBA - TOWEL RAIL ACCESSORIES FOR COLUMN - RAL 9016 OR THE FRONZE</t>
  </si>
  <si>
    <t xml:space="preserve">THE JORBA - TOWEL RAIL ACCESSORIES FOR COLUMN - COLOUR </t>
  </si>
  <si>
    <r>
      <t xml:space="preserve">PAIR OF COLUMN FEET - RAL 9016 OR THE FRONZE </t>
    </r>
    <r>
      <rPr>
        <sz val="8"/>
        <color theme="0"/>
        <rFont val="Century Gothic"/>
        <family val="1"/>
      </rPr>
      <t>[Only one pair required per Column radiator}</t>
    </r>
    <r>
      <rPr>
        <sz val="10"/>
        <color theme="0"/>
        <rFont val="Century Gothic"/>
        <family val="1"/>
      </rPr>
      <t xml:space="preserve"> </t>
    </r>
  </si>
  <si>
    <r>
      <t xml:space="preserve">PAIR OF COLUMN FEET - COLOUR </t>
    </r>
    <r>
      <rPr>
        <sz val="8"/>
        <color theme="0"/>
        <rFont val="Century Gothic"/>
        <family val="1"/>
      </rPr>
      <t>[Only one pair required per Column radiator}</t>
    </r>
    <r>
      <rPr>
        <sz val="10"/>
        <color theme="0"/>
        <rFont val="Century Gothic"/>
        <family val="1"/>
      </rPr>
      <t xml:space="preserve"> </t>
    </r>
  </si>
  <si>
    <r>
      <t xml:space="preserve">If you require export packaging, this is £60 </t>
    </r>
    <r>
      <rPr>
        <i/>
        <sz val="9"/>
        <color theme="0"/>
        <rFont val="Century Gothic"/>
        <family val="1"/>
      </rPr>
      <t>(no selling terms applied)</t>
    </r>
    <r>
      <rPr>
        <sz val="9"/>
        <color theme="0"/>
        <rFont val="Century Gothic"/>
        <family val="1"/>
      </rPr>
      <t>. Standard carriage in the UK is £49 per radiator. Please see eskimo's carriage cost calculator for all other quantities and locations. (No selling terms applied).</t>
    </r>
  </si>
  <si>
    <t>If you require export packaging, this is £60 (no selling terms applied). Standard carriage in the UK is £49 per radiator. Please see eskimo's carriage cost calculator for all other quantities and locations. (No selling terms applied).</t>
  </si>
  <si>
    <t>Special connections -  £110 - Please enquire for the options available from eskimo</t>
  </si>
  <si>
    <t>Hidden manual valve option + £110 (not accessible - on &amp; off with heating)</t>
  </si>
  <si>
    <t>Towel hanging rails (4mm thick  /  towel rail gap 45mm  / protruding 50mm overall ) can be added to all radiators - £213 per rail</t>
  </si>
  <si>
    <t xml:space="preserve">Towel hanging rails (4mm thick  /  towel rail gap 45mm  / protruding 50mm overall ) can be added to all radiators - £213 per rail				</t>
  </si>
  <si>
    <t xml:space="preserve">Towel hanging rails (4mm thick  /  towel rail gap 45mm  / protruding 50mm overall ) can be added to all radiators - £213 per rail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</si>
</sst>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quot;£&quot;* #,##0_-;\-&quot;£&quot;* #,##0_-;_-&quot;£&quot;* &quot;-&quot;??_-;_-@_-"/>
    <numFmt numFmtId="166" formatCode="#,##0.00_ ;\-#,##0.00\ "/>
  </numFmts>
  <fonts count="71" x14ac:knownFonts="1">
    <font>
      <sz val="10"/>
      <name val="Tahoma"/>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Tahoma"/>
      <family val="2"/>
    </font>
    <font>
      <sz val="8"/>
      <name val="Tahoma"/>
      <family val="2"/>
    </font>
    <font>
      <sz val="11"/>
      <name val="Arial"/>
      <family val="2"/>
    </font>
    <font>
      <b/>
      <sz val="14"/>
      <name val="Arial"/>
      <family val="2"/>
    </font>
    <font>
      <b/>
      <sz val="11"/>
      <name val="Arial"/>
      <family val="2"/>
    </font>
    <font>
      <sz val="11"/>
      <color indexed="8"/>
      <name val="Arial"/>
      <family val="2"/>
    </font>
    <font>
      <sz val="11"/>
      <color indexed="23"/>
      <name val="Arial"/>
      <family val="2"/>
    </font>
    <font>
      <sz val="11"/>
      <color indexed="10"/>
      <name val="Arial"/>
      <family val="2"/>
    </font>
    <font>
      <sz val="11"/>
      <color rgb="FFFF0000"/>
      <name val="Arial"/>
      <family val="2"/>
    </font>
    <font>
      <sz val="11"/>
      <color rgb="FFFFFFFF"/>
      <name val="Arial"/>
      <family val="2"/>
    </font>
    <font>
      <sz val="11"/>
      <color rgb="FFD79910"/>
      <name val="Arial"/>
      <family val="2"/>
    </font>
    <font>
      <sz val="11"/>
      <color indexed="50"/>
      <name val="Arial"/>
      <family val="2"/>
    </font>
    <font>
      <u/>
      <sz val="10"/>
      <color theme="10"/>
      <name val="Tahoma"/>
      <family val="2"/>
    </font>
    <font>
      <u/>
      <sz val="10"/>
      <color theme="11"/>
      <name val="Tahoma"/>
      <family val="2"/>
    </font>
    <font>
      <sz val="10"/>
      <color theme="1"/>
      <name val="Century Gothic"/>
      <family val="1"/>
    </font>
    <font>
      <b/>
      <sz val="10"/>
      <color theme="0"/>
      <name val="Century Gothic"/>
      <family val="1"/>
    </font>
    <font>
      <sz val="10"/>
      <name val="Century Gothic"/>
      <family val="1"/>
    </font>
    <font>
      <sz val="10"/>
      <color theme="0"/>
      <name val="Century Gothic"/>
      <family val="1"/>
    </font>
    <font>
      <b/>
      <sz val="10"/>
      <color rgb="FF000000"/>
      <name val="Century Gothic"/>
      <family val="1"/>
    </font>
    <font>
      <sz val="8"/>
      <color theme="1"/>
      <name val="Century Gothic"/>
      <family val="1"/>
    </font>
    <font>
      <i/>
      <sz val="10"/>
      <name val="Century Gothic"/>
      <family val="1"/>
    </font>
    <font>
      <sz val="8"/>
      <color theme="0"/>
      <name val="Century Gothic"/>
      <family val="1"/>
    </font>
    <font>
      <b/>
      <sz val="10"/>
      <name val="Century Gothic"/>
      <family val="1"/>
    </font>
    <font>
      <sz val="8"/>
      <name val="Century Gothic"/>
      <family val="1"/>
    </font>
    <font>
      <sz val="9"/>
      <color theme="0"/>
      <name val="Century Gothic"/>
      <family val="1"/>
    </font>
    <font>
      <sz val="9"/>
      <name val="Century Gothic"/>
      <family val="1"/>
    </font>
    <font>
      <sz val="11"/>
      <name val="Century Gothic"/>
      <family val="1"/>
    </font>
    <font>
      <b/>
      <sz val="10"/>
      <color theme="1"/>
      <name val="Century Gothic"/>
      <family val="1"/>
    </font>
    <font>
      <sz val="10"/>
      <color indexed="9"/>
      <name val="Century Gothic"/>
      <family val="1"/>
    </font>
    <font>
      <i/>
      <sz val="10"/>
      <color theme="0"/>
      <name val="Century Gothic"/>
      <family val="1"/>
    </font>
    <font>
      <sz val="10"/>
      <color indexed="10"/>
      <name val="Century Gothic"/>
      <family val="1"/>
    </font>
    <font>
      <sz val="10"/>
      <color rgb="FFD98008"/>
      <name val="Century Gothic"/>
      <family val="1"/>
    </font>
    <font>
      <sz val="11"/>
      <color indexed="8"/>
      <name val="Century Gothic"/>
      <family val="1"/>
    </font>
    <font>
      <sz val="11"/>
      <color indexed="23"/>
      <name val="Century Gothic"/>
      <family val="1"/>
    </font>
    <font>
      <b/>
      <sz val="11"/>
      <name val="Century Gothic"/>
      <family val="1"/>
    </font>
    <font>
      <b/>
      <sz val="11"/>
      <color theme="0"/>
      <name val="Century Gothic"/>
      <family val="1"/>
    </font>
    <font>
      <b/>
      <sz val="11"/>
      <color theme="1"/>
      <name val="Century Gothic"/>
      <family val="1"/>
    </font>
    <font>
      <b/>
      <sz val="11"/>
      <color indexed="9"/>
      <name val="Century Gothic"/>
      <family val="1"/>
    </font>
    <font>
      <sz val="11"/>
      <color rgb="FF2B2E00"/>
      <name val="Century Gothic"/>
      <family val="1"/>
    </font>
    <font>
      <sz val="11"/>
      <color rgb="FF2B2B00"/>
      <name val="Century Gothic"/>
      <family val="1"/>
    </font>
    <font>
      <b/>
      <sz val="11"/>
      <color rgb="FF2B2E00"/>
      <name val="Century Gothic"/>
      <family val="1"/>
    </font>
    <font>
      <b/>
      <sz val="11"/>
      <color rgb="FF2B2B00"/>
      <name val="Century Gothic"/>
      <family val="1"/>
    </font>
    <font>
      <b/>
      <sz val="12"/>
      <color theme="0"/>
      <name val="Century Gothic"/>
      <family val="1"/>
    </font>
    <font>
      <sz val="12"/>
      <color theme="0"/>
      <name val="Century Gothic"/>
      <family val="1"/>
    </font>
    <font>
      <sz val="11"/>
      <color theme="0"/>
      <name val="Century Gothic"/>
      <family val="1"/>
    </font>
    <font>
      <sz val="10"/>
      <color indexed="23"/>
      <name val="Century Gothic"/>
      <family val="1"/>
    </font>
    <font>
      <b/>
      <sz val="12"/>
      <color theme="1"/>
      <name val="Century Gothic"/>
      <family val="1"/>
    </font>
    <font>
      <sz val="12"/>
      <name val="Century Gothic"/>
      <family val="1"/>
    </font>
    <font>
      <sz val="11"/>
      <color indexed="9"/>
      <name val="Century Gothic"/>
      <family val="1"/>
    </font>
    <font>
      <sz val="11"/>
      <color theme="1"/>
      <name val="Century Gothic"/>
      <family val="1"/>
    </font>
    <font>
      <sz val="9"/>
      <color theme="1"/>
      <name val="Century Gothic"/>
      <family val="1"/>
    </font>
    <font>
      <sz val="10"/>
      <color rgb="FF2B2E00"/>
      <name val="Century Gothic"/>
      <family val="1"/>
    </font>
    <font>
      <sz val="10"/>
      <color rgb="FF2B2B00"/>
      <name val="Century Gothic"/>
      <family val="1"/>
    </font>
    <font>
      <b/>
      <sz val="10"/>
      <color rgb="FF2B2B00"/>
      <name val="Century Gothic"/>
      <family val="1"/>
    </font>
    <font>
      <sz val="11"/>
      <color indexed="50"/>
      <name val="Century Gothic"/>
      <family val="1"/>
    </font>
    <font>
      <b/>
      <sz val="9"/>
      <color theme="0"/>
      <name val="Century Gothic"/>
      <family val="1"/>
    </font>
    <font>
      <sz val="11"/>
      <color theme="1"/>
      <name val="Calibri"/>
      <family val="2"/>
      <scheme val="minor"/>
    </font>
    <font>
      <sz val="10"/>
      <color rgb="FF000000"/>
      <name val="Century Gothic"/>
      <family val="2"/>
    </font>
    <font>
      <i/>
      <sz val="9"/>
      <color theme="0"/>
      <name val="Century Gothic"/>
      <family val="1"/>
    </font>
    <font>
      <sz val="10"/>
      <color rgb="FF000000"/>
      <name val="Century Gothic"/>
      <family val="1"/>
    </font>
    <font>
      <i/>
      <sz val="10"/>
      <color rgb="FF000000"/>
      <name val="Century Gothic"/>
      <family val="1"/>
    </font>
    <font>
      <sz val="10"/>
      <color rgb="FFFFFFFF"/>
      <name val="Century Gothic"/>
      <family val="1"/>
    </font>
    <font>
      <sz val="8"/>
      <color rgb="FF000000"/>
      <name val="Century Gothic"/>
      <family val="1"/>
    </font>
    <font>
      <i/>
      <sz val="10"/>
      <color theme="1"/>
      <name val="Century Gothic"/>
      <family val="1"/>
    </font>
    <font>
      <sz val="10"/>
      <color theme="0"/>
      <name val="Tahoma"/>
      <family val="2"/>
    </font>
    <font>
      <b/>
      <u/>
      <sz val="9"/>
      <color theme="1"/>
      <name val="Century Gothic"/>
      <family val="1"/>
    </font>
  </fonts>
  <fills count="20">
    <fill>
      <patternFill patternType="none"/>
    </fill>
    <fill>
      <patternFill patternType="gray125"/>
    </fill>
    <fill>
      <patternFill patternType="solid">
        <fgColor rgb="FFFF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0000"/>
        <bgColor rgb="FF000000"/>
      </patternFill>
    </fill>
    <fill>
      <patternFill patternType="solid">
        <fgColor theme="0" tint="-0.14999847407452621"/>
        <bgColor indexed="64"/>
      </patternFill>
    </fill>
    <fill>
      <patternFill patternType="solid">
        <fgColor rgb="FF92D050"/>
        <bgColor indexed="64"/>
      </patternFill>
    </fill>
    <fill>
      <patternFill patternType="solid">
        <fgColor theme="1"/>
        <bgColor rgb="FF000000"/>
      </patternFill>
    </fill>
    <fill>
      <patternFill patternType="solid">
        <fgColor theme="1"/>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000000"/>
        <bgColor rgb="FF000000"/>
      </patternFill>
    </fill>
    <fill>
      <patternFill patternType="solid">
        <fgColor theme="0"/>
        <bgColor indexed="64"/>
      </patternFill>
    </fill>
    <fill>
      <patternFill patternType="solid">
        <fgColor theme="6" tint="-0.499984740745262"/>
        <bgColor indexed="64"/>
      </patternFill>
    </fill>
    <fill>
      <patternFill patternType="solid">
        <fgColor theme="6" tint="-0.499984740745262"/>
        <bgColor rgb="FF000000"/>
      </patternFill>
    </fill>
    <fill>
      <patternFill patternType="solid">
        <fgColor theme="6" tint="0.59999389629810485"/>
        <bgColor indexed="64"/>
      </patternFill>
    </fill>
    <fill>
      <patternFill patternType="solid">
        <fgColor theme="6" tint="0.59999389629810485"/>
        <bgColor rgb="FF000000"/>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rgb="FF000000"/>
      </right>
      <top style="thin">
        <color indexed="64"/>
      </top>
      <bottom style="thin">
        <color indexed="64"/>
      </bottom>
      <diagonal/>
    </border>
    <border>
      <left style="thin">
        <color rgb="FF000000"/>
      </left>
      <right/>
      <top style="thin">
        <color auto="1"/>
      </top>
      <bottom style="thin">
        <color indexed="64"/>
      </bottom>
      <diagonal/>
    </border>
  </borders>
  <cellStyleXfs count="200">
    <xf numFmtId="0" fontId="0" fillId="0" borderId="0"/>
    <xf numFmtId="164" fontId="5"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 fillId="0" borderId="0"/>
    <xf numFmtId="9" fontId="61" fillId="0" borderId="0" applyFont="0" applyFill="0" applyBorder="0" applyAlignment="0" applyProtection="0"/>
    <xf numFmtId="0" fontId="61" fillId="0" borderId="0"/>
    <xf numFmtId="0" fontId="2" fillId="0" borderId="0"/>
    <xf numFmtId="0" fontId="5" fillId="0" borderId="0"/>
    <xf numFmtId="0" fontId="2" fillId="0" borderId="0"/>
    <xf numFmtId="9" fontId="1" fillId="0" borderId="0" applyFont="0" applyFill="0" applyBorder="0" applyAlignment="0" applyProtection="0"/>
    <xf numFmtId="0" fontId="1" fillId="0" borderId="0"/>
  </cellStyleXfs>
  <cellXfs count="536">
    <xf numFmtId="0" fontId="0" fillId="0" borderId="0" xfId="0"/>
    <xf numFmtId="0" fontId="7" fillId="0" borderId="0" xfId="0" applyFont="1" applyAlignment="1">
      <alignment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vertical="center" wrapText="1"/>
    </xf>
    <xf numFmtId="0" fontId="10" fillId="0" borderId="1" xfId="0" applyFont="1" applyBorder="1" applyAlignment="1">
      <alignment vertical="center"/>
    </xf>
    <xf numFmtId="1" fontId="11" fillId="0" borderId="1" xfId="0" applyNumberFormat="1" applyFont="1" applyBorder="1" applyAlignment="1">
      <alignment vertical="center"/>
    </xf>
    <xf numFmtId="1" fontId="10" fillId="0" borderId="1" xfId="0" applyNumberFormat="1" applyFont="1" applyBorder="1" applyAlignment="1">
      <alignmen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vertical="center"/>
    </xf>
    <xf numFmtId="1" fontId="10" fillId="0" borderId="3" xfId="0" applyNumberFormat="1" applyFont="1" applyBorder="1" applyAlignment="1">
      <alignment vertical="center" wrapText="1"/>
    </xf>
    <xf numFmtId="0" fontId="0" fillId="2" borderId="1" xfId="0" applyFill="1" applyBorder="1"/>
    <xf numFmtId="0" fontId="0" fillId="2" borderId="2" xfId="0" applyFill="1" applyBorder="1"/>
    <xf numFmtId="0" fontId="0" fillId="2" borderId="3" xfId="0" applyFill="1" applyBorder="1"/>
    <xf numFmtId="0" fontId="7" fillId="0" borderId="0" xfId="0" applyFont="1" applyAlignment="1" applyProtection="1">
      <alignment horizontal="center" wrapText="1"/>
      <protection locked="0"/>
    </xf>
    <xf numFmtId="2" fontId="7" fillId="0" borderId="0" xfId="0" applyNumberFormat="1" applyFont="1" applyAlignment="1" applyProtection="1">
      <alignment horizontal="center" wrapText="1"/>
      <protection locked="0"/>
    </xf>
    <xf numFmtId="0" fontId="16" fillId="0" borderId="0" xfId="0" applyFont="1" applyAlignment="1">
      <alignment horizontal="center" wrapText="1"/>
    </xf>
    <xf numFmtId="2" fontId="7" fillId="0" borderId="0" xfId="0" applyNumberFormat="1" applyFont="1" applyAlignment="1">
      <alignment horizontal="center" wrapText="1"/>
    </xf>
    <xf numFmtId="1" fontId="7" fillId="0" borderId="0" xfId="0" applyNumberFormat="1" applyFont="1" applyAlignment="1">
      <alignment horizontal="center" wrapText="1"/>
    </xf>
    <xf numFmtId="1" fontId="16" fillId="0" borderId="0" xfId="0" applyNumberFormat="1" applyFont="1" applyAlignment="1">
      <alignment horizontal="center" wrapText="1"/>
    </xf>
    <xf numFmtId="0" fontId="9" fillId="0" borderId="0" xfId="0" applyFont="1" applyAlignment="1">
      <alignment horizontal="center" wrapText="1"/>
    </xf>
    <xf numFmtId="0" fontId="7" fillId="0" borderId="0" xfId="0" applyFont="1" applyAlignment="1">
      <alignment horizontal="center" wrapText="1"/>
    </xf>
    <xf numFmtId="0" fontId="19" fillId="0" borderId="0" xfId="5" applyFont="1" applyAlignment="1">
      <alignment vertical="center"/>
    </xf>
    <xf numFmtId="1" fontId="19" fillId="0" borderId="0" xfId="5" applyNumberFormat="1" applyFont="1" applyAlignment="1">
      <alignment vertical="center"/>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center" vertical="center"/>
    </xf>
    <xf numFmtId="0" fontId="19" fillId="0" borderId="2" xfId="0" applyFont="1" applyBorder="1" applyAlignment="1">
      <alignment vertical="center"/>
    </xf>
    <xf numFmtId="0" fontId="19" fillId="0" borderId="1" xfId="0" applyFont="1" applyBorder="1" applyAlignment="1">
      <alignment vertical="center" wrapText="1"/>
    </xf>
    <xf numFmtId="1" fontId="19" fillId="0" borderId="1" xfId="0" applyNumberFormat="1" applyFont="1" applyBorder="1" applyAlignment="1">
      <alignment vertical="center" wrapText="1"/>
    </xf>
    <xf numFmtId="1" fontId="19" fillId="0" borderId="1" xfId="0" applyNumberFormat="1" applyFont="1" applyBorder="1" applyAlignment="1">
      <alignment vertical="center"/>
    </xf>
    <xf numFmtId="1" fontId="19" fillId="0" borderId="3" xfId="0" applyNumberFormat="1" applyFont="1" applyBorder="1" applyAlignment="1">
      <alignment vertical="center"/>
    </xf>
    <xf numFmtId="1" fontId="21" fillId="0" borderId="0" xfId="0" applyNumberFormat="1" applyFont="1"/>
    <xf numFmtId="0" fontId="19" fillId="6" borderId="2" xfId="0" applyFont="1" applyFill="1" applyBorder="1" applyAlignment="1">
      <alignment vertical="center"/>
    </xf>
    <xf numFmtId="0" fontId="19" fillId="6" borderId="1" xfId="0" applyFont="1" applyFill="1" applyBorder="1" applyAlignment="1">
      <alignment vertical="center" wrapText="1"/>
    </xf>
    <xf numFmtId="1" fontId="19" fillId="6" borderId="1" xfId="0" applyNumberFormat="1" applyFont="1" applyFill="1" applyBorder="1" applyAlignment="1">
      <alignment vertical="center" wrapText="1"/>
    </xf>
    <xf numFmtId="1" fontId="19" fillId="6" borderId="1" xfId="0" applyNumberFormat="1" applyFont="1" applyFill="1" applyBorder="1" applyAlignment="1">
      <alignment vertical="center"/>
    </xf>
    <xf numFmtId="1" fontId="19" fillId="6" borderId="3" xfId="0" applyNumberFormat="1" applyFont="1" applyFill="1" applyBorder="1" applyAlignment="1">
      <alignment vertical="center"/>
    </xf>
    <xf numFmtId="0" fontId="19" fillId="6" borderId="6" xfId="0" applyFont="1" applyFill="1" applyBorder="1" applyAlignment="1">
      <alignment vertical="center"/>
    </xf>
    <xf numFmtId="0" fontId="19" fillId="6" borderId="4" xfId="0" applyFont="1" applyFill="1" applyBorder="1" applyAlignment="1">
      <alignment vertical="center" wrapText="1"/>
    </xf>
    <xf numFmtId="1" fontId="19" fillId="6" borderId="4" xfId="0" applyNumberFormat="1" applyFont="1" applyFill="1" applyBorder="1" applyAlignment="1">
      <alignment vertical="center" wrapText="1"/>
    </xf>
    <xf numFmtId="1" fontId="19" fillId="6" borderId="4" xfId="0" applyNumberFormat="1" applyFont="1" applyFill="1" applyBorder="1" applyAlignment="1">
      <alignment vertical="center"/>
    </xf>
    <xf numFmtId="1" fontId="19" fillId="6" borderId="5" xfId="0" applyNumberFormat="1" applyFont="1" applyFill="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1" fontId="19" fillId="0" borderId="0" xfId="0" applyNumberFormat="1" applyFont="1" applyAlignment="1">
      <alignment vertical="center"/>
    </xf>
    <xf numFmtId="1" fontId="19" fillId="0" borderId="0" xfId="0" applyNumberFormat="1" applyFont="1" applyAlignment="1">
      <alignment vertical="center" wrapText="1"/>
    </xf>
    <xf numFmtId="0" fontId="35" fillId="0" borderId="0" xfId="0" applyFont="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1" fontId="19" fillId="10" borderId="1" xfId="0" applyNumberFormat="1" applyFont="1" applyFill="1" applyBorder="1" applyAlignment="1">
      <alignment vertical="center"/>
    </xf>
    <xf numFmtId="1" fontId="19" fillId="10" borderId="4" xfId="0" applyNumberFormat="1" applyFont="1" applyFill="1" applyBorder="1" applyAlignment="1">
      <alignment vertical="center"/>
    </xf>
    <xf numFmtId="0" fontId="21" fillId="0" borderId="0" xfId="0" applyFont="1"/>
    <xf numFmtId="0" fontId="31"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9" fillId="10" borderId="1" xfId="0" applyFont="1" applyFill="1" applyBorder="1" applyAlignment="1">
      <alignment horizontal="center" vertical="center" wrapText="1"/>
    </xf>
    <xf numFmtId="0" fontId="39" fillId="10" borderId="3" xfId="0" applyFont="1" applyFill="1" applyBorder="1" applyAlignment="1">
      <alignment horizontal="center" vertical="center" wrapText="1"/>
    </xf>
    <xf numFmtId="0" fontId="39" fillId="3" borderId="1" xfId="0" applyFont="1" applyFill="1" applyBorder="1" applyAlignment="1" applyProtection="1">
      <alignment horizontal="center" vertical="center" wrapText="1"/>
      <protection locked="0"/>
    </xf>
    <xf numFmtId="165" fontId="39" fillId="0" borderId="1" xfId="1" applyNumberFormat="1" applyFont="1" applyFill="1" applyBorder="1" applyAlignment="1">
      <alignment horizontal="center" vertical="center" wrapText="1"/>
    </xf>
    <xf numFmtId="0" fontId="45" fillId="6" borderId="1" xfId="0" applyFont="1" applyFill="1" applyBorder="1" applyAlignment="1" applyProtection="1">
      <alignment horizontal="center" vertical="center" wrapText="1"/>
      <protection locked="0"/>
    </xf>
    <xf numFmtId="165" fontId="46" fillId="0" borderId="1" xfId="1" applyNumberFormat="1" applyFont="1" applyFill="1" applyBorder="1" applyAlignment="1">
      <alignment horizontal="center" vertical="center" wrapText="1"/>
    </xf>
    <xf numFmtId="0" fontId="31" fillId="9" borderId="0" xfId="0" applyFont="1" applyFill="1" applyAlignment="1">
      <alignment vertical="center"/>
    </xf>
    <xf numFmtId="0" fontId="31" fillId="0" borderId="0" xfId="0" applyFont="1" applyAlignment="1">
      <alignment horizontal="center" vertical="center" wrapText="1"/>
    </xf>
    <xf numFmtId="0" fontId="39" fillId="0" borderId="0" xfId="0" applyFont="1" applyAlignment="1">
      <alignment vertical="center" wrapText="1"/>
    </xf>
    <xf numFmtId="0" fontId="31" fillId="0" borderId="0" xfId="0" applyFont="1" applyAlignment="1" applyProtection="1">
      <alignment horizontal="center" vertical="center" wrapText="1"/>
      <protection locked="0"/>
    </xf>
    <xf numFmtId="0" fontId="39" fillId="0" borderId="0" xfId="0" applyFont="1" applyAlignment="1">
      <alignment horizontal="center" vertical="center" wrapText="1"/>
    </xf>
    <xf numFmtId="0" fontId="44" fillId="4" borderId="1" xfId="0" applyFont="1" applyFill="1" applyBorder="1" applyAlignment="1">
      <alignment horizontal="center" vertical="center" wrapText="1"/>
    </xf>
    <xf numFmtId="165" fontId="31" fillId="0" borderId="0" xfId="0" applyNumberFormat="1" applyFont="1" applyAlignment="1">
      <alignment horizontal="center" vertical="center" wrapText="1"/>
    </xf>
    <xf numFmtId="164" fontId="31" fillId="0" borderId="0" xfId="0" applyNumberFormat="1" applyFont="1" applyAlignment="1">
      <alignment horizontal="center" vertical="center" wrapText="1"/>
    </xf>
    <xf numFmtId="1" fontId="31" fillId="0" borderId="0" xfId="0" applyNumberFormat="1" applyFont="1" applyAlignment="1">
      <alignment horizontal="center" vertical="center" wrapText="1"/>
    </xf>
    <xf numFmtId="2" fontId="31" fillId="0" borderId="0" xfId="0" applyNumberFormat="1" applyFont="1" applyAlignment="1">
      <alignment horizontal="center" vertical="center" wrapText="1"/>
    </xf>
    <xf numFmtId="0" fontId="31" fillId="11" borderId="0" xfId="0" applyFont="1" applyFill="1" applyAlignment="1">
      <alignment vertical="center"/>
    </xf>
    <xf numFmtId="1" fontId="42" fillId="13" borderId="1" xfId="0" applyNumberFormat="1" applyFont="1" applyFill="1" applyBorder="1" applyAlignment="1">
      <alignment horizontal="center" vertical="center" wrapText="1"/>
    </xf>
    <xf numFmtId="1" fontId="42" fillId="13" borderId="3" xfId="0" applyNumberFormat="1" applyFont="1" applyFill="1" applyBorder="1" applyAlignment="1">
      <alignment horizontal="center" vertical="center" wrapText="1"/>
    </xf>
    <xf numFmtId="1" fontId="46" fillId="6" borderId="1" xfId="0" applyNumberFormat="1" applyFont="1" applyFill="1" applyBorder="1" applyAlignment="1">
      <alignment horizontal="center" vertical="center" wrapText="1"/>
    </xf>
    <xf numFmtId="1" fontId="46" fillId="6" borderId="3" xfId="0" applyNumberFormat="1" applyFont="1" applyFill="1" applyBorder="1" applyAlignment="1">
      <alignment horizontal="center" vertical="center" wrapText="1"/>
    </xf>
    <xf numFmtId="1" fontId="19" fillId="0" borderId="1" xfId="0" applyNumberFormat="1" applyFont="1" applyBorder="1" applyAlignment="1">
      <alignment horizontal="right" vertical="center" wrapText="1"/>
    </xf>
    <xf numFmtId="1" fontId="19" fillId="0" borderId="3" xfId="0" applyNumberFormat="1" applyFont="1" applyBorder="1" applyAlignment="1">
      <alignment horizontal="right" vertical="center" wrapText="1"/>
    </xf>
    <xf numFmtId="1" fontId="19" fillId="6" borderId="1" xfId="0" applyNumberFormat="1" applyFont="1" applyFill="1" applyBorder="1" applyAlignment="1">
      <alignment horizontal="right" vertical="center" wrapText="1"/>
    </xf>
    <xf numFmtId="1" fontId="19" fillId="6" borderId="3" xfId="0" applyNumberFormat="1" applyFont="1" applyFill="1" applyBorder="1" applyAlignment="1">
      <alignment horizontal="right" vertical="center" wrapText="1"/>
    </xf>
    <xf numFmtId="1" fontId="19" fillId="0" borderId="3" xfId="0" applyNumberFormat="1" applyFont="1" applyBorder="1" applyAlignment="1">
      <alignment vertical="center" wrapText="1"/>
    </xf>
    <xf numFmtId="1" fontId="19" fillId="6" borderId="3" xfId="0" applyNumberFormat="1" applyFont="1" applyFill="1" applyBorder="1" applyAlignment="1">
      <alignment vertical="center" wrapText="1"/>
    </xf>
    <xf numFmtId="1" fontId="31" fillId="0" borderId="0" xfId="0" applyNumberFormat="1" applyFont="1" applyAlignment="1">
      <alignment horizontal="center" vertical="center"/>
    </xf>
    <xf numFmtId="0" fontId="38" fillId="0" borderId="7" xfId="0" applyFont="1" applyBorder="1" applyAlignment="1">
      <alignment horizontal="center" vertical="center"/>
    </xf>
    <xf numFmtId="1" fontId="37" fillId="0" borderId="0" xfId="0" applyNumberFormat="1" applyFont="1" applyAlignment="1">
      <alignment horizontal="center" vertical="center"/>
    </xf>
    <xf numFmtId="1" fontId="38" fillId="0" borderId="0" xfId="0" applyNumberFormat="1" applyFont="1" applyAlignment="1">
      <alignment horizontal="center" vertical="center"/>
    </xf>
    <xf numFmtId="0" fontId="54" fillId="10" borderId="0" xfId="0" applyFont="1" applyFill="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54" fillId="0" borderId="2" xfId="0" applyFont="1" applyBorder="1" applyAlignment="1">
      <alignment horizontal="left" vertical="center"/>
    </xf>
    <xf numFmtId="0" fontId="54" fillId="0" borderId="1" xfId="0" applyFont="1" applyBorder="1" applyAlignment="1">
      <alignment horizontal="left" vertical="center" wrapText="1"/>
    </xf>
    <xf numFmtId="0" fontId="54" fillId="6" borderId="2" xfId="0" applyFont="1" applyFill="1" applyBorder="1" applyAlignment="1">
      <alignment horizontal="left" vertical="center"/>
    </xf>
    <xf numFmtId="0" fontId="54" fillId="6" borderId="1" xfId="0" applyFont="1" applyFill="1" applyBorder="1" applyAlignment="1">
      <alignment horizontal="left" vertical="center" wrapText="1"/>
    </xf>
    <xf numFmtId="0" fontId="54" fillId="6" borderId="6" xfId="0" applyFont="1" applyFill="1" applyBorder="1" applyAlignment="1">
      <alignment horizontal="left" vertical="center"/>
    </xf>
    <xf numFmtId="0" fontId="54" fillId="6" borderId="4" xfId="0" applyFont="1" applyFill="1" applyBorder="1" applyAlignment="1">
      <alignment horizontal="left" vertical="center" wrapText="1"/>
    </xf>
    <xf numFmtId="1" fontId="54" fillId="0" borderId="1" xfId="0" applyNumberFormat="1" applyFont="1" applyBorder="1" applyAlignment="1">
      <alignment horizontal="right" vertical="center"/>
    </xf>
    <xf numFmtId="1" fontId="54" fillId="0" borderId="3" xfId="0" applyNumberFormat="1" applyFont="1" applyBorder="1" applyAlignment="1">
      <alignment horizontal="right" vertical="center"/>
    </xf>
    <xf numFmtId="1" fontId="54" fillId="6" borderId="1" xfId="0" applyNumberFormat="1" applyFont="1" applyFill="1" applyBorder="1" applyAlignment="1">
      <alignment horizontal="right" vertical="center"/>
    </xf>
    <xf numFmtId="1" fontId="54" fillId="6" borderId="4" xfId="0" applyNumberFormat="1" applyFont="1" applyFill="1" applyBorder="1" applyAlignment="1">
      <alignment horizontal="right" vertical="center"/>
    </xf>
    <xf numFmtId="1" fontId="54" fillId="6" borderId="3" xfId="0" applyNumberFormat="1" applyFont="1" applyFill="1" applyBorder="1" applyAlignment="1">
      <alignment horizontal="right" vertical="center"/>
    </xf>
    <xf numFmtId="1" fontId="54" fillId="6" borderId="5" xfId="0" applyNumberFormat="1" applyFont="1" applyFill="1" applyBorder="1" applyAlignment="1">
      <alignment horizontal="right" vertical="center"/>
    </xf>
    <xf numFmtId="0" fontId="27" fillId="0" borderId="0" xfId="0"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0" fontId="21" fillId="10" borderId="1"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27" fillId="3" borderId="1" xfId="0" applyFont="1" applyFill="1" applyBorder="1" applyAlignment="1" applyProtection="1">
      <alignment horizontal="center" vertical="center" wrapText="1"/>
      <protection locked="0"/>
    </xf>
    <xf numFmtId="165" fontId="27" fillId="0" borderId="1" xfId="1" applyNumberFormat="1" applyFont="1" applyFill="1" applyBorder="1" applyAlignment="1">
      <alignment horizontal="center" vertical="center" wrapText="1"/>
    </xf>
    <xf numFmtId="0" fontId="58" fillId="6" borderId="1" xfId="0" applyFont="1" applyFill="1" applyBorder="1" applyAlignment="1" applyProtection="1">
      <alignment horizontal="center" vertical="center" wrapText="1"/>
      <protection locked="0"/>
    </xf>
    <xf numFmtId="165" fontId="58" fillId="0" borderId="1" xfId="1" applyNumberFormat="1" applyFont="1" applyFill="1" applyBorder="1" applyAlignment="1">
      <alignment horizontal="center" vertical="center" wrapText="1"/>
    </xf>
    <xf numFmtId="0" fontId="21" fillId="0" borderId="1" xfId="0" applyFont="1" applyBorder="1" applyAlignment="1">
      <alignment horizontal="center" vertical="center" wrapText="1"/>
    </xf>
    <xf numFmtId="164" fontId="31" fillId="0" borderId="0" xfId="1" applyFont="1" applyAlignment="1">
      <alignment horizontal="center" vertical="center" wrapText="1"/>
    </xf>
    <xf numFmtId="2" fontId="31" fillId="0" borderId="0" xfId="0" applyNumberFormat="1" applyFont="1" applyAlignment="1" applyProtection="1">
      <alignment horizontal="center" vertical="center" wrapText="1"/>
      <protection locked="0"/>
    </xf>
    <xf numFmtId="0" fontId="57" fillId="4" borderId="1" xfId="0" applyFont="1" applyFill="1" applyBorder="1" applyAlignment="1">
      <alignment horizontal="center" vertical="center" wrapText="1"/>
    </xf>
    <xf numFmtId="0" fontId="59" fillId="0" borderId="0" xfId="0" applyFont="1" applyAlignment="1">
      <alignment horizontal="center" vertical="center" wrapText="1"/>
    </xf>
    <xf numFmtId="166" fontId="31" fillId="0" borderId="0" xfId="1" applyNumberFormat="1" applyFont="1" applyAlignment="1">
      <alignment horizontal="center" vertical="center" wrapText="1"/>
    </xf>
    <xf numFmtId="1" fontId="59" fillId="0" borderId="0" xfId="0" applyNumberFormat="1" applyFont="1" applyAlignment="1">
      <alignment horizontal="center" vertical="center" wrapText="1"/>
    </xf>
    <xf numFmtId="1" fontId="27" fillId="13" borderId="1" xfId="0" applyNumberFormat="1" applyFont="1" applyFill="1" applyBorder="1" applyAlignment="1">
      <alignment horizontal="center" vertical="center" wrapText="1"/>
    </xf>
    <xf numFmtId="1" fontId="27" fillId="13" borderId="3" xfId="0" applyNumberFormat="1" applyFont="1" applyFill="1" applyBorder="1" applyAlignment="1">
      <alignment horizontal="center" vertical="center" wrapText="1"/>
    </xf>
    <xf numFmtId="1" fontId="58" fillId="6" borderId="1" xfId="0" applyNumberFormat="1" applyFont="1" applyFill="1" applyBorder="1" applyAlignment="1">
      <alignment horizontal="center" vertical="center" wrapText="1"/>
    </xf>
    <xf numFmtId="1" fontId="58" fillId="6" borderId="3" xfId="0" applyNumberFormat="1" applyFont="1" applyFill="1" applyBorder="1" applyAlignment="1">
      <alignment horizontal="center" vertical="center" wrapText="1"/>
    </xf>
    <xf numFmtId="0" fontId="19" fillId="0" borderId="7" xfId="0" applyFont="1" applyBorder="1" applyAlignment="1">
      <alignment vertical="center"/>
    </xf>
    <xf numFmtId="1" fontId="31" fillId="0" borderId="0" xfId="0" applyNumberFormat="1" applyFont="1" applyAlignment="1">
      <alignment vertical="center"/>
    </xf>
    <xf numFmtId="0" fontId="19" fillId="0" borderId="0" xfId="195" applyFont="1" applyAlignment="1">
      <alignment vertical="center"/>
    </xf>
    <xf numFmtId="9" fontId="19" fillId="0" borderId="0" xfId="2" applyFont="1" applyAlignment="1">
      <alignment vertical="center"/>
    </xf>
    <xf numFmtId="1" fontId="19" fillId="0" borderId="0" xfId="195" applyNumberFormat="1" applyFont="1" applyAlignment="1">
      <alignment vertical="center"/>
    </xf>
    <xf numFmtId="0" fontId="19" fillId="0" borderId="0" xfId="195" applyFont="1" applyAlignment="1">
      <alignment horizontal="center" vertical="center"/>
    </xf>
    <xf numFmtId="0" fontId="21" fillId="0" borderId="0" xfId="196" applyFont="1" applyAlignment="1">
      <alignment vertical="center"/>
    </xf>
    <xf numFmtId="1" fontId="64" fillId="0" borderId="0" xfId="196" applyNumberFormat="1" applyFont="1" applyAlignment="1">
      <alignment vertical="center"/>
    </xf>
    <xf numFmtId="0" fontId="64" fillId="0" borderId="0" xfId="196" applyFont="1" applyAlignment="1">
      <alignment vertical="center"/>
    </xf>
    <xf numFmtId="0" fontId="27" fillId="0" borderId="1" xfId="196" applyFont="1" applyBorder="1" applyAlignment="1">
      <alignment horizontal="center" vertical="center"/>
    </xf>
    <xf numFmtId="1" fontId="64" fillId="0" borderId="0" xfId="195" applyNumberFormat="1" applyFont="1" applyAlignment="1">
      <alignment vertical="center"/>
    </xf>
    <xf numFmtId="1" fontId="65" fillId="0" borderId="0" xfId="195" applyNumberFormat="1" applyFont="1" applyAlignment="1">
      <alignment vertical="center"/>
    </xf>
    <xf numFmtId="1" fontId="25" fillId="0" borderId="0" xfId="195" applyNumberFormat="1" applyFont="1" applyAlignment="1">
      <alignment vertical="center"/>
    </xf>
    <xf numFmtId="1" fontId="21" fillId="0" borderId="0" xfId="195" applyNumberFormat="1" applyFont="1" applyAlignment="1">
      <alignment vertical="center"/>
    </xf>
    <xf numFmtId="0" fontId="64" fillId="0" borderId="0" xfId="195" applyFont="1" applyAlignment="1">
      <alignment vertical="center"/>
    </xf>
    <xf numFmtId="0" fontId="23" fillId="0" borderId="7" xfId="195" applyFont="1" applyBorder="1" applyAlignment="1">
      <alignment horizontal="center" vertical="center" wrapText="1"/>
    </xf>
    <xf numFmtId="1" fontId="64" fillId="0" borderId="3" xfId="195" applyNumberFormat="1" applyFont="1" applyBorder="1" applyAlignment="1">
      <alignment vertical="center"/>
    </xf>
    <xf numFmtId="1" fontId="64" fillId="0" borderId="1" xfId="195" applyNumberFormat="1" applyFont="1" applyBorder="1" applyAlignment="1">
      <alignment vertical="center"/>
    </xf>
    <xf numFmtId="1" fontId="65" fillId="0" borderId="1" xfId="195" applyNumberFormat="1" applyFont="1" applyBorder="1" applyAlignment="1">
      <alignment vertical="center"/>
    </xf>
    <xf numFmtId="1" fontId="64" fillId="15" borderId="1" xfId="195" applyNumberFormat="1" applyFont="1" applyFill="1" applyBorder="1" applyAlignment="1">
      <alignment vertical="center"/>
    </xf>
    <xf numFmtId="1" fontId="65" fillId="15" borderId="1" xfId="195" applyNumberFormat="1" applyFont="1" applyFill="1" applyBorder="1" applyAlignment="1">
      <alignment vertical="center"/>
    </xf>
    <xf numFmtId="1" fontId="64" fillId="0" borderId="4" xfId="195" applyNumberFormat="1" applyFont="1" applyBorder="1" applyAlignment="1">
      <alignment vertical="center"/>
    </xf>
    <xf numFmtId="1" fontId="25" fillId="0" borderId="4" xfId="195" applyNumberFormat="1" applyFont="1" applyBorder="1" applyAlignment="1">
      <alignment vertical="center"/>
    </xf>
    <xf numFmtId="0" fontId="64" fillId="0" borderId="4" xfId="195" applyFont="1" applyBorder="1" applyAlignment="1">
      <alignment vertical="center"/>
    </xf>
    <xf numFmtId="0" fontId="64" fillId="0" borderId="1" xfId="195" applyFont="1" applyBorder="1" applyAlignment="1">
      <alignment vertical="center"/>
    </xf>
    <xf numFmtId="1" fontId="25" fillId="0" borderId="1" xfId="195" applyNumberFormat="1" applyFont="1" applyBorder="1" applyAlignment="1">
      <alignment vertical="center"/>
    </xf>
    <xf numFmtId="0" fontId="67" fillId="0" borderId="1" xfId="195" applyFont="1" applyBorder="1" applyAlignment="1">
      <alignment horizontal="left" vertical="center"/>
    </xf>
    <xf numFmtId="0" fontId="23" fillId="0" borderId="1" xfId="195" applyFont="1" applyBorder="1" applyAlignment="1">
      <alignment horizontal="right" vertical="center"/>
    </xf>
    <xf numFmtId="0" fontId="23" fillId="0" borderId="2" xfId="195" applyFont="1" applyBorder="1" applyAlignment="1">
      <alignment horizontal="right" vertical="center"/>
    </xf>
    <xf numFmtId="1" fontId="68" fillId="0" borderId="0" xfId="195" applyNumberFormat="1" applyFont="1" applyAlignment="1">
      <alignment vertical="center"/>
    </xf>
    <xf numFmtId="0" fontId="23" fillId="0" borderId="0" xfId="195" applyFont="1" applyAlignment="1">
      <alignment horizontal="center" vertical="center" wrapText="1"/>
    </xf>
    <xf numFmtId="1" fontId="68" fillId="0" borderId="5" xfId="195" applyNumberFormat="1" applyFont="1" applyBorder="1" applyAlignment="1">
      <alignment vertical="center"/>
    </xf>
    <xf numFmtId="1" fontId="68" fillId="0" borderId="4" xfId="195" applyNumberFormat="1" applyFont="1" applyBorder="1" applyAlignment="1">
      <alignment vertical="center"/>
    </xf>
    <xf numFmtId="1" fontId="68" fillId="0" borderId="3" xfId="195" applyNumberFormat="1" applyFont="1" applyBorder="1" applyAlignment="1">
      <alignment vertical="center"/>
    </xf>
    <xf numFmtId="1" fontId="68" fillId="0" borderId="1" xfId="195" applyNumberFormat="1" applyFont="1" applyBorder="1" applyAlignment="1">
      <alignment vertical="center"/>
    </xf>
    <xf numFmtId="1" fontId="21" fillId="0" borderId="41" xfId="196" applyNumberFormat="1" applyFont="1" applyBorder="1" applyAlignment="1">
      <alignment vertical="center"/>
    </xf>
    <xf numFmtId="1" fontId="25" fillId="0" borderId="41" xfId="196" applyNumberFormat="1" applyFont="1" applyBorder="1" applyAlignment="1">
      <alignment vertical="center"/>
    </xf>
    <xf numFmtId="1" fontId="64" fillId="0" borderId="41" xfId="196" applyNumberFormat="1" applyFont="1" applyBorder="1" applyAlignment="1">
      <alignment vertical="center"/>
    </xf>
    <xf numFmtId="1" fontId="65" fillId="0" borderId="41" xfId="196" applyNumberFormat="1" applyFont="1" applyBorder="1" applyAlignment="1">
      <alignment vertical="center"/>
    </xf>
    <xf numFmtId="1" fontId="64" fillId="0" borderId="39" xfId="196" applyNumberFormat="1" applyFont="1" applyBorder="1" applyAlignment="1">
      <alignment vertical="center"/>
    </xf>
    <xf numFmtId="0" fontId="23" fillId="0" borderId="41" xfId="196" applyFont="1" applyBorder="1" applyAlignment="1">
      <alignment horizontal="right" vertical="center"/>
    </xf>
    <xf numFmtId="0" fontId="23" fillId="0" borderId="36" xfId="196" applyFont="1" applyBorder="1" applyAlignment="1">
      <alignment horizontal="right" vertical="center"/>
    </xf>
    <xf numFmtId="1" fontId="19" fillId="0" borderId="22" xfId="195" applyNumberFormat="1" applyFont="1" applyBorder="1" applyAlignment="1">
      <alignment vertical="center"/>
    </xf>
    <xf numFmtId="1" fontId="19" fillId="0" borderId="21" xfId="195" applyNumberFormat="1" applyFont="1" applyBorder="1" applyAlignment="1">
      <alignment vertical="center"/>
    </xf>
    <xf numFmtId="1" fontId="68" fillId="0" borderId="21" xfId="195" applyNumberFormat="1" applyFont="1" applyBorder="1" applyAlignment="1">
      <alignment vertical="center"/>
    </xf>
    <xf numFmtId="0" fontId="19" fillId="0" borderId="21" xfId="195" applyFont="1" applyBorder="1" applyAlignment="1">
      <alignment vertical="center"/>
    </xf>
    <xf numFmtId="0" fontId="23" fillId="0" borderId="20" xfId="195" applyFont="1" applyBorder="1" applyAlignment="1">
      <alignment horizontal="center" vertical="center" wrapText="1"/>
    </xf>
    <xf numFmtId="1" fontId="19" fillId="0" borderId="1" xfId="195" applyNumberFormat="1" applyFont="1" applyBorder="1" applyAlignment="1">
      <alignment vertical="center"/>
    </xf>
    <xf numFmtId="0" fontId="23" fillId="0" borderId="1" xfId="195" applyFont="1" applyBorder="1" applyAlignment="1">
      <alignment horizontal="left" vertical="center"/>
    </xf>
    <xf numFmtId="0" fontId="19" fillId="0" borderId="23" xfId="195" applyFont="1" applyBorder="1" applyAlignment="1">
      <alignment vertical="center"/>
    </xf>
    <xf numFmtId="0" fontId="23" fillId="0" borderId="1" xfId="195" applyFont="1" applyBorder="1" applyAlignment="1">
      <alignment horizontal="center" vertical="center" wrapText="1"/>
    </xf>
    <xf numFmtId="1" fontId="23" fillId="0" borderId="1" xfId="195" applyNumberFormat="1" applyFont="1" applyBorder="1" applyAlignment="1">
      <alignment horizontal="center" vertical="center"/>
    </xf>
    <xf numFmtId="1" fontId="23" fillId="0" borderId="3" xfId="195" applyNumberFormat="1" applyFont="1" applyBorder="1" applyAlignment="1">
      <alignment horizontal="center" vertical="center"/>
    </xf>
    <xf numFmtId="0" fontId="23" fillId="0" borderId="41" xfId="196" applyFont="1" applyBorder="1" applyAlignment="1">
      <alignment horizontal="center" vertical="center" wrapText="1"/>
    </xf>
    <xf numFmtId="1" fontId="23" fillId="0" borderId="41" xfId="196" applyNumberFormat="1" applyFont="1" applyBorder="1" applyAlignment="1">
      <alignment horizontal="center" vertical="center"/>
    </xf>
    <xf numFmtId="1" fontId="23" fillId="0" borderId="39" xfId="196" applyNumberFormat="1" applyFont="1" applyBorder="1" applyAlignment="1">
      <alignment horizontal="center" vertical="center"/>
    </xf>
    <xf numFmtId="0" fontId="23" fillId="0" borderId="2" xfId="195" applyFont="1" applyBorder="1" applyAlignment="1">
      <alignment horizontal="center" vertical="center" wrapText="1"/>
    </xf>
    <xf numFmtId="0" fontId="21" fillId="0" borderId="1" xfId="196" applyFont="1" applyBorder="1" applyAlignment="1">
      <alignment horizontal="left" vertical="center"/>
    </xf>
    <xf numFmtId="0" fontId="22" fillId="16" borderId="1" xfId="195" applyFont="1" applyFill="1" applyBorder="1" applyAlignment="1">
      <alignment vertical="center"/>
    </xf>
    <xf numFmtId="1" fontId="22" fillId="16" borderId="1" xfId="195" applyNumberFormat="1" applyFont="1" applyFill="1" applyBorder="1" applyAlignment="1">
      <alignment vertical="center"/>
    </xf>
    <xf numFmtId="1" fontId="34" fillId="16" borderId="1" xfId="195" applyNumberFormat="1" applyFont="1" applyFill="1" applyBorder="1" applyAlignment="1">
      <alignment vertical="center"/>
    </xf>
    <xf numFmtId="0" fontId="22" fillId="16" borderId="4" xfId="195" applyFont="1" applyFill="1" applyBorder="1" applyAlignment="1">
      <alignment vertical="center"/>
    </xf>
    <xf numFmtId="1" fontId="22" fillId="16" borderId="4" xfId="195" applyNumberFormat="1" applyFont="1" applyFill="1" applyBorder="1" applyAlignment="1">
      <alignment vertical="center"/>
    </xf>
    <xf numFmtId="1" fontId="34" fillId="16" borderId="4" xfId="195" applyNumberFormat="1" applyFont="1" applyFill="1" applyBorder="1" applyAlignment="1">
      <alignment vertical="center"/>
    </xf>
    <xf numFmtId="0" fontId="22" fillId="16" borderId="41" xfId="196" applyFont="1" applyFill="1" applyBorder="1" applyAlignment="1">
      <alignment vertical="center"/>
    </xf>
    <xf numFmtId="1" fontId="22" fillId="16" borderId="41" xfId="196" applyNumberFormat="1" applyFont="1" applyFill="1" applyBorder="1" applyAlignment="1">
      <alignment vertical="center"/>
    </xf>
    <xf numFmtId="0" fontId="22" fillId="17" borderId="41" xfId="196" applyFont="1" applyFill="1" applyBorder="1" applyAlignment="1">
      <alignment vertical="center"/>
    </xf>
    <xf numFmtId="1" fontId="22" fillId="17" borderId="41" xfId="196" applyNumberFormat="1" applyFont="1" applyFill="1" applyBorder="1" applyAlignment="1">
      <alignment vertical="center"/>
    </xf>
    <xf numFmtId="1" fontId="34" fillId="17" borderId="41" xfId="196" applyNumberFormat="1" applyFont="1" applyFill="1" applyBorder="1" applyAlignment="1">
      <alignment vertical="center"/>
    </xf>
    <xf numFmtId="1" fontId="34" fillId="16" borderId="41" xfId="196" applyNumberFormat="1" applyFont="1" applyFill="1" applyBorder="1" applyAlignment="1">
      <alignment vertical="center"/>
    </xf>
    <xf numFmtId="0" fontId="22" fillId="17" borderId="40" xfId="196" applyFont="1" applyFill="1" applyBorder="1" applyAlignment="1">
      <alignment vertical="center"/>
    </xf>
    <xf numFmtId="1" fontId="22" fillId="17" borderId="40" xfId="196" applyNumberFormat="1" applyFont="1" applyFill="1" applyBorder="1" applyAlignment="1">
      <alignment vertical="center"/>
    </xf>
    <xf numFmtId="1" fontId="34" fillId="17" borderId="40" xfId="196" applyNumberFormat="1" applyFont="1" applyFill="1" applyBorder="1" applyAlignment="1">
      <alignment vertical="center"/>
    </xf>
    <xf numFmtId="0" fontId="20" fillId="16" borderId="1" xfId="0" applyFont="1" applyFill="1" applyBorder="1" applyAlignment="1">
      <alignment horizontal="center" vertical="center" wrapText="1"/>
    </xf>
    <xf numFmtId="0" fontId="40" fillId="17" borderId="1" xfId="0" applyFont="1" applyFill="1" applyBorder="1" applyAlignment="1">
      <alignment horizontal="center" vertical="center" wrapText="1"/>
    </xf>
    <xf numFmtId="0" fontId="40" fillId="16" borderId="1" xfId="0" applyFont="1" applyFill="1" applyBorder="1" applyAlignment="1">
      <alignment horizontal="center" vertical="center" wrapText="1"/>
    </xf>
    <xf numFmtId="1" fontId="19" fillId="6" borderId="4" xfId="0" applyNumberFormat="1" applyFont="1" applyFill="1" applyBorder="1" applyAlignment="1">
      <alignment horizontal="right" vertical="center" wrapText="1"/>
    </xf>
    <xf numFmtId="1" fontId="19" fillId="6" borderId="5" xfId="0" applyNumberFormat="1" applyFont="1" applyFill="1" applyBorder="1" applyAlignment="1">
      <alignment horizontal="right" vertical="center" wrapText="1"/>
    </xf>
    <xf numFmtId="1" fontId="19" fillId="0" borderId="4" xfId="0" applyNumberFormat="1" applyFont="1" applyBorder="1" applyAlignment="1">
      <alignment vertical="center" wrapText="1"/>
    </xf>
    <xf numFmtId="1" fontId="19" fillId="6" borderId="5" xfId="0" applyNumberFormat="1" applyFont="1" applyFill="1" applyBorder="1" applyAlignment="1">
      <alignment vertical="center" wrapText="1"/>
    </xf>
    <xf numFmtId="1" fontId="62" fillId="0" borderId="0" xfId="0" applyNumberFormat="1" applyFont="1"/>
    <xf numFmtId="0" fontId="64" fillId="18" borderId="1" xfId="195" applyFont="1" applyFill="1" applyBorder="1" applyAlignment="1">
      <alignment vertical="center"/>
    </xf>
    <xf numFmtId="1" fontId="64" fillId="18" borderId="1" xfId="195" applyNumberFormat="1" applyFont="1" applyFill="1" applyBorder="1" applyAlignment="1">
      <alignment vertical="center"/>
    </xf>
    <xf numFmtId="1" fontId="65" fillId="18" borderId="1" xfId="195" applyNumberFormat="1" applyFont="1" applyFill="1" applyBorder="1" applyAlignment="1">
      <alignment vertical="center"/>
    </xf>
    <xf numFmtId="1" fontId="64" fillId="18" borderId="3" xfId="195" applyNumberFormat="1" applyFont="1" applyFill="1" applyBorder="1" applyAlignment="1">
      <alignment vertical="center"/>
    </xf>
    <xf numFmtId="1" fontId="25" fillId="18" borderId="1" xfId="195" applyNumberFormat="1" applyFont="1" applyFill="1" applyBorder="1" applyAlignment="1">
      <alignment vertical="center"/>
    </xf>
    <xf numFmtId="1" fontId="64" fillId="15" borderId="4" xfId="195" applyNumberFormat="1" applyFont="1" applyFill="1" applyBorder="1" applyAlignment="1">
      <alignment vertical="center"/>
    </xf>
    <xf numFmtId="1" fontId="65" fillId="15" borderId="4" xfId="195" applyNumberFormat="1" applyFont="1" applyFill="1" applyBorder="1" applyAlignment="1">
      <alignment vertical="center"/>
    </xf>
    <xf numFmtId="1" fontId="65" fillId="0" borderId="4" xfId="195" applyNumberFormat="1" applyFont="1" applyBorder="1" applyAlignment="1">
      <alignment vertical="center"/>
    </xf>
    <xf numFmtId="1" fontId="64" fillId="0" borderId="5" xfId="195" applyNumberFormat="1" applyFont="1" applyBorder="1" applyAlignment="1">
      <alignment vertical="center"/>
    </xf>
    <xf numFmtId="0" fontId="22" fillId="0" borderId="1" xfId="196" applyFont="1" applyBorder="1" applyAlignment="1">
      <alignment horizontal="left" vertical="center"/>
    </xf>
    <xf numFmtId="0" fontId="21" fillId="0" borderId="1" xfId="196" applyFont="1" applyBorder="1" applyAlignment="1">
      <alignment horizontal="right" vertical="center"/>
    </xf>
    <xf numFmtId="1" fontId="21" fillId="18" borderId="1" xfId="195" applyNumberFormat="1" applyFont="1" applyFill="1" applyBorder="1" applyAlignment="1">
      <alignment horizontal="right" vertical="center"/>
    </xf>
    <xf numFmtId="0" fontId="66" fillId="0" borderId="1" xfId="196" applyFont="1" applyBorder="1" applyAlignment="1">
      <alignment horizontal="left" vertical="center"/>
    </xf>
    <xf numFmtId="1" fontId="23" fillId="0" borderId="1" xfId="196" applyNumberFormat="1" applyFont="1" applyBorder="1" applyAlignment="1">
      <alignment horizontal="center" vertical="center"/>
    </xf>
    <xf numFmtId="0" fontId="64" fillId="19" borderId="1" xfId="196" applyFont="1" applyFill="1" applyBorder="1" applyAlignment="1">
      <alignment vertical="center"/>
    </xf>
    <xf numFmtId="1" fontId="64" fillId="19" borderId="1" xfId="196" applyNumberFormat="1" applyFont="1" applyFill="1" applyBorder="1" applyAlignment="1">
      <alignment vertical="center"/>
    </xf>
    <xf numFmtId="1" fontId="25" fillId="19" borderId="1" xfId="196" applyNumberFormat="1" applyFont="1" applyFill="1" applyBorder="1" applyAlignment="1">
      <alignment vertical="center"/>
    </xf>
    <xf numFmtId="1" fontId="21" fillId="19" borderId="1" xfId="196" applyNumberFormat="1" applyFont="1" applyFill="1" applyBorder="1" applyAlignment="1">
      <alignment horizontal="right" vertical="center"/>
    </xf>
    <xf numFmtId="1" fontId="64" fillId="0" borderId="1" xfId="196" applyNumberFormat="1" applyFont="1" applyBorder="1" applyAlignment="1">
      <alignment vertical="center"/>
    </xf>
    <xf numFmtId="1" fontId="25" fillId="0" borderId="1" xfId="196" applyNumberFormat="1" applyFont="1" applyBorder="1" applyAlignment="1">
      <alignment vertical="center"/>
    </xf>
    <xf numFmtId="1" fontId="65" fillId="0" borderId="1" xfId="196" applyNumberFormat="1" applyFont="1" applyBorder="1" applyAlignment="1">
      <alignment vertical="center"/>
    </xf>
    <xf numFmtId="0" fontId="64" fillId="0" borderId="1" xfId="196" applyFont="1" applyBorder="1" applyAlignment="1">
      <alignment vertical="center"/>
    </xf>
    <xf numFmtId="1" fontId="21" fillId="0" borderId="1" xfId="196" applyNumberFormat="1" applyFont="1" applyBorder="1" applyAlignment="1">
      <alignment horizontal="right" vertical="center"/>
    </xf>
    <xf numFmtId="1" fontId="27" fillId="0" borderId="1" xfId="196" applyNumberFormat="1" applyFont="1" applyBorder="1" applyAlignment="1">
      <alignment horizontal="center" vertical="center"/>
    </xf>
    <xf numFmtId="0" fontId="64" fillId="18" borderId="1" xfId="196" applyFont="1" applyFill="1" applyBorder="1" applyAlignment="1">
      <alignment vertical="center"/>
    </xf>
    <xf numFmtId="1" fontId="64" fillId="18" borderId="1" xfId="196" applyNumberFormat="1" applyFont="1" applyFill="1" applyBorder="1" applyAlignment="1">
      <alignment vertical="center"/>
    </xf>
    <xf numFmtId="1" fontId="25" fillId="18" borderId="1" xfId="196" applyNumberFormat="1" applyFont="1" applyFill="1" applyBorder="1" applyAlignment="1">
      <alignment vertical="center"/>
    </xf>
    <xf numFmtId="1" fontId="21" fillId="18" borderId="1" xfId="196" applyNumberFormat="1" applyFont="1" applyFill="1" applyBorder="1" applyAlignment="1">
      <alignment horizontal="right" vertical="center"/>
    </xf>
    <xf numFmtId="0" fontId="22" fillId="0" borderId="3" xfId="196" applyFont="1" applyBorder="1" applyAlignment="1">
      <alignment horizontal="left" vertical="center"/>
    </xf>
    <xf numFmtId="0" fontId="66" fillId="0" borderId="3" xfId="196" applyFont="1" applyBorder="1" applyAlignment="1">
      <alignment horizontal="left" vertical="center"/>
    </xf>
    <xf numFmtId="0" fontId="23" fillId="0" borderId="2" xfId="196" applyFont="1" applyBorder="1" applyAlignment="1">
      <alignment horizontal="center" vertical="center" wrapText="1"/>
    </xf>
    <xf numFmtId="1" fontId="64" fillId="0" borderId="3" xfId="196" applyNumberFormat="1" applyFont="1" applyBorder="1" applyAlignment="1">
      <alignment vertical="center"/>
    </xf>
    <xf numFmtId="0" fontId="23" fillId="0" borderId="6" xfId="196" applyFont="1" applyBorder="1" applyAlignment="1">
      <alignment horizontal="center" vertical="center" wrapText="1"/>
    </xf>
    <xf numFmtId="0" fontId="64" fillId="0" borderId="4" xfId="196" applyFont="1" applyBorder="1" applyAlignment="1">
      <alignment vertical="center"/>
    </xf>
    <xf numFmtId="1" fontId="64" fillId="0" borderId="4" xfId="196" applyNumberFormat="1" applyFont="1" applyBorder="1" applyAlignment="1">
      <alignment vertical="center"/>
    </xf>
    <xf numFmtId="1" fontId="25" fillId="0" borderId="4" xfId="196" applyNumberFormat="1" applyFont="1" applyBorder="1" applyAlignment="1">
      <alignment vertical="center"/>
    </xf>
    <xf numFmtId="1" fontId="21" fillId="0" borderId="4" xfId="196" applyNumberFormat="1" applyFont="1" applyBorder="1" applyAlignment="1">
      <alignment horizontal="right" vertical="center"/>
    </xf>
    <xf numFmtId="1" fontId="65" fillId="0" borderId="4" xfId="196" applyNumberFormat="1" applyFont="1" applyBorder="1" applyAlignment="1">
      <alignment vertical="center"/>
    </xf>
    <xf numFmtId="1" fontId="64" fillId="0" borderId="5" xfId="196" applyNumberFormat="1" applyFont="1" applyBorder="1" applyAlignment="1">
      <alignment vertical="center"/>
    </xf>
    <xf numFmtId="1" fontId="67" fillId="10" borderId="1" xfId="195" applyNumberFormat="1" applyFont="1" applyFill="1" applyBorder="1" applyAlignment="1">
      <alignment horizontal="center" vertical="center"/>
    </xf>
    <xf numFmtId="0" fontId="24" fillId="10" borderId="3" xfId="195" applyFont="1" applyFill="1" applyBorder="1" applyAlignment="1">
      <alignment horizontal="center" vertical="center"/>
    </xf>
    <xf numFmtId="1" fontId="23" fillId="0" borderId="1" xfId="195" applyNumberFormat="1" applyFont="1" applyBorder="1" applyAlignment="1">
      <alignment horizontal="center" vertical="center"/>
    </xf>
    <xf numFmtId="0" fontId="19" fillId="0" borderId="1" xfId="195" applyFont="1" applyBorder="1" applyAlignment="1">
      <alignment horizontal="center" vertical="center"/>
    </xf>
    <xf numFmtId="1" fontId="67" fillId="10" borderId="43" xfId="196" applyNumberFormat="1" applyFont="1" applyFill="1" applyBorder="1" applyAlignment="1">
      <alignment horizontal="center" vertical="center"/>
    </xf>
    <xf numFmtId="1" fontId="67" fillId="10" borderId="42" xfId="196" applyNumberFormat="1" applyFont="1" applyFill="1" applyBorder="1" applyAlignment="1">
      <alignment horizontal="center" vertical="center"/>
    </xf>
    <xf numFmtId="0" fontId="64" fillId="0" borderId="43" xfId="196" applyFont="1" applyBorder="1" applyAlignment="1">
      <alignment horizontal="center" vertical="center"/>
    </xf>
    <xf numFmtId="0" fontId="64" fillId="0" borderId="42" xfId="196" applyFont="1" applyBorder="1" applyAlignment="1">
      <alignment horizontal="center" vertical="center"/>
    </xf>
    <xf numFmtId="0" fontId="64" fillId="0" borderId="25" xfId="196" applyFont="1" applyBorder="1" applyAlignment="1">
      <alignment horizontal="center" vertical="center"/>
    </xf>
    <xf numFmtId="1" fontId="23" fillId="0" borderId="43" xfId="196" applyNumberFormat="1" applyFont="1" applyBorder="1" applyAlignment="1">
      <alignment horizontal="center" vertical="center"/>
    </xf>
    <xf numFmtId="1" fontId="23" fillId="0" borderId="42" xfId="196" applyNumberFormat="1" applyFont="1" applyBorder="1" applyAlignment="1">
      <alignment horizontal="center" vertical="center"/>
    </xf>
    <xf numFmtId="0" fontId="22" fillId="14" borderId="32" xfId="196" applyFont="1" applyFill="1" applyBorder="1" applyAlignment="1">
      <alignment horizontal="left" vertical="center" wrapText="1"/>
    </xf>
    <xf numFmtId="0" fontId="22" fillId="14" borderId="29" xfId="196" applyFont="1" applyFill="1" applyBorder="1" applyAlignment="1">
      <alignment horizontal="left" vertical="center" wrapText="1"/>
    </xf>
    <xf numFmtId="0" fontId="22" fillId="14" borderId="30" xfId="196" applyFont="1" applyFill="1" applyBorder="1" applyAlignment="1">
      <alignment horizontal="left" vertical="center" wrapText="1"/>
    </xf>
    <xf numFmtId="0" fontId="23" fillId="0" borderId="2" xfId="195" applyFont="1" applyBorder="1" applyAlignment="1">
      <alignment horizontal="right" vertical="center"/>
    </xf>
    <xf numFmtId="0" fontId="23" fillId="0" borderId="1" xfId="195" applyFont="1" applyBorder="1" applyAlignment="1">
      <alignment horizontal="right" vertical="center"/>
    </xf>
    <xf numFmtId="0" fontId="29" fillId="9" borderId="7" xfId="195" applyFont="1" applyFill="1" applyBorder="1" applyAlignment="1">
      <alignment horizontal="left" vertical="center" wrapText="1"/>
    </xf>
    <xf numFmtId="0" fontId="29" fillId="9" borderId="0" xfId="196" applyFont="1" applyFill="1" applyAlignment="1">
      <alignment horizontal="left" vertical="center"/>
    </xf>
    <xf numFmtId="0" fontId="29" fillId="9" borderId="26" xfId="196" applyFont="1" applyFill="1" applyBorder="1" applyAlignment="1">
      <alignment horizontal="left" vertical="center"/>
    </xf>
    <xf numFmtId="0" fontId="23" fillId="0" borderId="2" xfId="195" applyFont="1" applyBorder="1" applyAlignment="1">
      <alignment horizontal="center" vertical="center" wrapText="1"/>
    </xf>
    <xf numFmtId="0" fontId="23" fillId="0" borderId="6" xfId="195" applyFont="1" applyBorder="1" applyAlignment="1">
      <alignment horizontal="center" vertical="center" wrapText="1"/>
    </xf>
    <xf numFmtId="0" fontId="19" fillId="0" borderId="3" xfId="195" applyFont="1" applyBorder="1" applyAlignment="1">
      <alignment horizontal="center" vertical="center"/>
    </xf>
    <xf numFmtId="0" fontId="67" fillId="10" borderId="2" xfId="195" applyFont="1" applyFill="1" applyBorder="1" applyAlignment="1">
      <alignment horizontal="right" vertical="center"/>
    </xf>
    <xf numFmtId="0" fontId="67" fillId="10" borderId="1" xfId="195" applyFont="1" applyFill="1" applyBorder="1" applyAlignment="1">
      <alignment horizontal="right" vertical="center"/>
    </xf>
    <xf numFmtId="0" fontId="21" fillId="0" borderId="1" xfId="196" applyFont="1" applyBorder="1" applyAlignment="1">
      <alignment horizontal="right" vertical="center"/>
    </xf>
    <xf numFmtId="0" fontId="23" fillId="0" borderId="2" xfId="196" applyFont="1" applyBorder="1" applyAlignment="1">
      <alignment horizontal="right" vertical="center"/>
    </xf>
    <xf numFmtId="0" fontId="23" fillId="0" borderId="1" xfId="196" applyFont="1" applyBorder="1" applyAlignment="1">
      <alignment horizontal="right" vertical="center"/>
    </xf>
    <xf numFmtId="0" fontId="28" fillId="0" borderId="1" xfId="196" applyFont="1" applyBorder="1" applyAlignment="1">
      <alignment horizontal="left" vertical="center"/>
    </xf>
    <xf numFmtId="0" fontId="64" fillId="0" borderId="1" xfId="195" applyFont="1" applyBorder="1" applyAlignment="1">
      <alignment horizontal="center" vertical="center"/>
    </xf>
    <xf numFmtId="0" fontId="67" fillId="10" borderId="18" xfId="196" applyFont="1" applyFill="1" applyBorder="1" applyAlignment="1">
      <alignment horizontal="right" vertical="center"/>
    </xf>
    <xf numFmtId="0" fontId="67" fillId="10" borderId="19" xfId="196" applyFont="1" applyFill="1" applyBorder="1" applyAlignment="1">
      <alignment horizontal="right" vertical="center"/>
    </xf>
    <xf numFmtId="0" fontId="67" fillId="10" borderId="42" xfId="196" applyFont="1" applyFill="1" applyBorder="1" applyAlignment="1">
      <alignment horizontal="right" vertical="center"/>
    </xf>
    <xf numFmtId="0" fontId="67" fillId="0" borderId="18" xfId="196" applyFont="1" applyBorder="1" applyAlignment="1">
      <alignment horizontal="right" vertical="center"/>
    </xf>
    <xf numFmtId="0" fontId="67" fillId="0" borderId="19" xfId="196" applyFont="1" applyBorder="1" applyAlignment="1">
      <alignment horizontal="right" vertical="center"/>
    </xf>
    <xf numFmtId="0" fontId="67" fillId="0" borderId="42" xfId="196" applyFont="1" applyBorder="1" applyAlignment="1">
      <alignment horizontal="right" vertical="center"/>
    </xf>
    <xf numFmtId="0" fontId="23" fillId="0" borderId="18" xfId="196" applyFont="1" applyBorder="1" applyAlignment="1">
      <alignment horizontal="right" vertical="center"/>
    </xf>
    <xf numFmtId="0" fontId="23" fillId="0" borderId="19" xfId="196" applyFont="1" applyBorder="1" applyAlignment="1">
      <alignment horizontal="right" vertical="center"/>
    </xf>
    <xf numFmtId="0" fontId="23" fillId="0" borderId="42" xfId="196" applyFont="1" applyBorder="1" applyAlignment="1">
      <alignment horizontal="right" vertical="center"/>
    </xf>
    <xf numFmtId="0" fontId="19" fillId="0" borderId="0" xfId="195" applyFont="1" applyAlignment="1">
      <alignment vertical="center"/>
    </xf>
    <xf numFmtId="0" fontId="47" fillId="16" borderId="14" xfId="196" applyFont="1" applyFill="1" applyBorder="1" applyAlignment="1">
      <alignment horizontal="center" vertical="center"/>
    </xf>
    <xf numFmtId="0" fontId="47" fillId="16" borderId="11" xfId="196" applyFont="1" applyFill="1" applyBorder="1" applyAlignment="1">
      <alignment horizontal="center" vertical="center"/>
    </xf>
    <xf numFmtId="0" fontId="47" fillId="16" borderId="12" xfId="196" applyFont="1" applyFill="1" applyBorder="1" applyAlignment="1">
      <alignment horizontal="center" vertical="center"/>
    </xf>
    <xf numFmtId="0" fontId="22" fillId="8" borderId="2" xfId="195" applyFont="1" applyFill="1" applyBorder="1" applyAlignment="1">
      <alignment horizontal="left" vertical="center" wrapText="1"/>
    </xf>
    <xf numFmtId="0" fontId="22" fillId="8" borderId="1" xfId="195" applyFont="1" applyFill="1" applyBorder="1" applyAlignment="1">
      <alignment horizontal="left" vertical="center" wrapText="1"/>
    </xf>
    <xf numFmtId="0" fontId="22" fillId="9" borderId="1" xfId="195" applyFont="1" applyFill="1" applyBorder="1" applyAlignment="1">
      <alignment horizontal="left" vertical="center"/>
    </xf>
    <xf numFmtId="0" fontId="22" fillId="9" borderId="3" xfId="195" applyFont="1" applyFill="1" applyBorder="1" applyAlignment="1">
      <alignment horizontal="left" vertical="center"/>
    </xf>
    <xf numFmtId="0" fontId="67" fillId="0" borderId="2" xfId="195" applyFont="1" applyBorder="1" applyAlignment="1">
      <alignment horizontal="right" vertical="center"/>
    </xf>
    <xf numFmtId="0" fontId="67" fillId="0" borderId="1" xfId="195" applyFont="1" applyBorder="1" applyAlignment="1">
      <alignment horizontal="right" vertical="center"/>
    </xf>
    <xf numFmtId="0" fontId="70" fillId="12" borderId="15" xfId="195" applyFont="1" applyFill="1" applyBorder="1" applyAlignment="1">
      <alignment vertical="center"/>
    </xf>
    <xf numFmtId="0" fontId="70" fillId="12" borderId="23" xfId="195" applyFont="1" applyFill="1" applyBorder="1" applyAlignment="1">
      <alignment vertical="center"/>
    </xf>
    <xf numFmtId="0" fontId="70" fillId="12" borderId="23" xfId="196" applyFont="1" applyFill="1" applyBorder="1" applyAlignment="1">
      <alignment vertical="center"/>
    </xf>
    <xf numFmtId="0" fontId="70" fillId="12" borderId="16" xfId="196" applyFont="1" applyFill="1" applyBorder="1" applyAlignment="1">
      <alignment vertical="center"/>
    </xf>
    <xf numFmtId="0" fontId="22" fillId="9" borderId="2" xfId="196"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29" fillId="9" borderId="20" xfId="195" applyFont="1" applyFill="1" applyBorder="1" applyAlignment="1">
      <alignment vertical="center" wrapText="1"/>
    </xf>
    <xf numFmtId="0" fontId="22" fillId="9" borderId="21" xfId="196" applyFont="1" applyFill="1" applyBorder="1" applyAlignment="1">
      <alignment vertical="center" wrapText="1"/>
    </xf>
    <xf numFmtId="0" fontId="22" fillId="9" borderId="22" xfId="196" applyFont="1" applyFill="1" applyBorder="1" applyAlignment="1">
      <alignment vertical="center" wrapText="1"/>
    </xf>
    <xf numFmtId="0" fontId="21" fillId="0" borderId="1" xfId="196" applyFont="1" applyBorder="1" applyAlignment="1">
      <alignment horizontal="left" vertical="center"/>
    </xf>
    <xf numFmtId="0" fontId="66" fillId="14" borderId="2" xfId="196" applyFont="1" applyFill="1" applyBorder="1" applyAlignment="1">
      <alignment horizontal="left" vertical="center" wrapText="1"/>
    </xf>
    <xf numFmtId="0" fontId="66" fillId="14" borderId="1" xfId="196" applyFont="1" applyFill="1" applyBorder="1" applyAlignment="1">
      <alignment horizontal="left" vertical="center" wrapText="1"/>
    </xf>
    <xf numFmtId="0" fontId="66" fillId="14" borderId="3" xfId="196" applyFont="1" applyFill="1" applyBorder="1" applyAlignment="1">
      <alignment horizontal="left" vertical="center" wrapText="1"/>
    </xf>
    <xf numFmtId="0" fontId="22" fillId="9" borderId="14" xfId="195" applyFont="1" applyFill="1" applyBorder="1" applyAlignment="1">
      <alignment horizontal="left" vertical="center" wrapText="1"/>
    </xf>
    <xf numFmtId="0" fontId="22" fillId="9" borderId="11" xfId="196" applyFont="1" applyFill="1" applyBorder="1" applyAlignment="1">
      <alignment horizontal="left" vertical="center"/>
    </xf>
    <xf numFmtId="0" fontId="22" fillId="9" borderId="12" xfId="196" applyFont="1" applyFill="1" applyBorder="1" applyAlignment="1">
      <alignment horizontal="left" vertical="center"/>
    </xf>
    <xf numFmtId="0" fontId="30" fillId="0" borderId="7" xfId="195" applyFont="1" applyBorder="1" applyAlignment="1">
      <alignment horizontal="center" vertical="center" wrapText="1"/>
    </xf>
    <xf numFmtId="0" fontId="30" fillId="0" borderId="0" xfId="195" applyFont="1" applyAlignment="1">
      <alignment horizontal="center" vertical="center"/>
    </xf>
    <xf numFmtId="0" fontId="30" fillId="0" borderId="26" xfId="195" applyFont="1" applyBorder="1" applyAlignment="1">
      <alignment horizontal="center" vertical="center"/>
    </xf>
    <xf numFmtId="0" fontId="30" fillId="0" borderId="7" xfId="195" applyFont="1" applyBorder="1" applyAlignment="1">
      <alignment horizontal="center" vertical="center"/>
    </xf>
    <xf numFmtId="0" fontId="30" fillId="0" borderId="15" xfId="195" applyFont="1" applyBorder="1" applyAlignment="1">
      <alignment horizontal="center" vertical="center"/>
    </xf>
    <xf numFmtId="0" fontId="30" fillId="0" borderId="23" xfId="195" applyFont="1" applyBorder="1" applyAlignment="1">
      <alignment horizontal="center" vertical="center"/>
    </xf>
    <xf numFmtId="0" fontId="30" fillId="0" borderId="16" xfId="195" applyFont="1" applyBorder="1" applyAlignment="1">
      <alignment horizontal="center" vertical="center"/>
    </xf>
    <xf numFmtId="1" fontId="23" fillId="0" borderId="25" xfId="196" applyNumberFormat="1" applyFont="1" applyBorder="1" applyAlignment="1">
      <alignment horizontal="center" vertical="center"/>
    </xf>
    <xf numFmtId="1" fontId="67" fillId="10" borderId="25" xfId="196" applyNumberFormat="1" applyFont="1" applyFill="1" applyBorder="1" applyAlignment="1">
      <alignment horizontal="center" vertical="center"/>
    </xf>
    <xf numFmtId="0" fontId="22" fillId="8" borderId="14" xfId="195" applyFont="1" applyFill="1" applyBorder="1" applyAlignment="1">
      <alignment horizontal="left" vertical="center" wrapText="1"/>
    </xf>
    <xf numFmtId="0" fontId="22" fillId="8" borderId="11" xfId="195" applyFont="1" applyFill="1" applyBorder="1" applyAlignment="1">
      <alignment horizontal="left" vertical="center" wrapText="1"/>
    </xf>
    <xf numFmtId="0" fontId="22" fillId="9" borderId="11" xfId="195" applyFont="1" applyFill="1" applyBorder="1" applyAlignment="1">
      <alignment horizontal="left" vertical="center"/>
    </xf>
    <xf numFmtId="0" fontId="22" fillId="9" borderId="12" xfId="195" applyFont="1" applyFill="1" applyBorder="1" applyAlignment="1">
      <alignment horizontal="left" vertical="center"/>
    </xf>
    <xf numFmtId="0" fontId="19" fillId="0" borderId="7" xfId="0" applyFont="1" applyBorder="1" applyAlignment="1">
      <alignment horizontal="center" vertical="center"/>
    </xf>
    <xf numFmtId="0" fontId="19" fillId="0" borderId="0" xfId="0" applyFont="1" applyAlignment="1">
      <alignment horizontal="center" vertical="center"/>
    </xf>
    <xf numFmtId="0" fontId="19" fillId="0" borderId="26" xfId="0" applyFont="1" applyBorder="1" applyAlignment="1">
      <alignment horizontal="center" vertical="center"/>
    </xf>
    <xf numFmtId="0" fontId="19" fillId="0" borderId="15" xfId="0" applyFont="1" applyBorder="1" applyAlignment="1">
      <alignment horizontal="center" vertical="center"/>
    </xf>
    <xf numFmtId="0" fontId="19" fillId="0" borderId="23" xfId="0" applyFont="1" applyBorder="1" applyAlignment="1">
      <alignment horizontal="center" vertical="center"/>
    </xf>
    <xf numFmtId="0" fontId="19" fillId="0" borderId="16" xfId="0" applyFont="1" applyBorder="1" applyAlignment="1">
      <alignment horizontal="center" vertical="center"/>
    </xf>
    <xf numFmtId="0" fontId="20" fillId="16"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22" fillId="9" borderId="17" xfId="0" applyFont="1" applyFill="1" applyBorder="1" applyAlignment="1">
      <alignment horizontal="left" vertical="center" wrapText="1"/>
    </xf>
    <xf numFmtId="0" fontId="21" fillId="0" borderId="8" xfId="0" applyFont="1" applyBorder="1" applyAlignment="1">
      <alignment horizontal="left" vertical="center" wrapText="1"/>
    </xf>
    <xf numFmtId="0" fontId="21" fillId="0" borderId="13" xfId="0" applyFont="1" applyBorder="1" applyAlignment="1">
      <alignment horizontal="left" vertical="center" wrapText="1"/>
    </xf>
    <xf numFmtId="0" fontId="33" fillId="9" borderId="36" xfId="0" applyFont="1" applyFill="1" applyBorder="1" applyAlignment="1">
      <alignment horizontal="left" vertical="center"/>
    </xf>
    <xf numFmtId="0" fontId="33" fillId="9" borderId="10" xfId="0" applyFont="1" applyFill="1" applyBorder="1" applyAlignment="1">
      <alignment horizontal="left" vertical="center"/>
    </xf>
    <xf numFmtId="0" fontId="33" fillId="9" borderId="31" xfId="0" applyFont="1" applyFill="1" applyBorder="1" applyAlignment="1">
      <alignment horizontal="left" vertical="center"/>
    </xf>
    <xf numFmtId="0" fontId="33" fillId="9" borderId="2" xfId="0" applyFont="1" applyFill="1" applyBorder="1" applyAlignment="1">
      <alignment horizontal="left" vertical="center"/>
    </xf>
    <xf numFmtId="0" fontId="33" fillId="9" borderId="1" xfId="0" applyFont="1" applyFill="1" applyBorder="1" applyAlignment="1">
      <alignment horizontal="left" vertical="center"/>
    </xf>
    <xf numFmtId="0" fontId="33" fillId="9" borderId="3" xfId="0" applyFont="1" applyFill="1" applyBorder="1" applyAlignment="1">
      <alignment horizontal="left" vertical="center"/>
    </xf>
    <xf numFmtId="0" fontId="33" fillId="9" borderId="2"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3" xfId="0" applyFont="1" applyBorder="1" applyAlignment="1">
      <alignment horizontal="left" vertical="center" wrapText="1"/>
    </xf>
    <xf numFmtId="0" fontId="19" fillId="12" borderId="18" xfId="0" applyFont="1" applyFill="1" applyBorder="1" applyAlignment="1">
      <alignment vertical="center"/>
    </xf>
    <xf numFmtId="0" fontId="21" fillId="12" borderId="19" xfId="0" applyFont="1" applyFill="1" applyBorder="1" applyAlignment="1">
      <alignment vertical="center"/>
    </xf>
    <xf numFmtId="0" fontId="21" fillId="12" borderId="25" xfId="0" applyFont="1" applyFill="1" applyBorder="1" applyAlignment="1">
      <alignment vertical="center"/>
    </xf>
    <xf numFmtId="0" fontId="22" fillId="11" borderId="2" xfId="0" applyFont="1" applyFill="1" applyBorder="1" applyAlignment="1">
      <alignment horizontal="left" vertical="center" wrapText="1"/>
    </xf>
    <xf numFmtId="0" fontId="21" fillId="11" borderId="1" xfId="0" applyFont="1" applyFill="1" applyBorder="1" applyAlignment="1">
      <alignment horizontal="left" vertical="center" wrapText="1"/>
    </xf>
    <xf numFmtId="0" fontId="21" fillId="11" borderId="3" xfId="0" applyFont="1" applyFill="1" applyBorder="1" applyAlignment="1">
      <alignment horizontal="left" vertical="center" wrapText="1"/>
    </xf>
    <xf numFmtId="0" fontId="22" fillId="11" borderId="2" xfId="0" applyFont="1" applyFill="1" applyBorder="1" applyAlignment="1">
      <alignment horizontal="left" wrapText="1"/>
    </xf>
    <xf numFmtId="0" fontId="21" fillId="11" borderId="1" xfId="0" applyFont="1" applyFill="1" applyBorder="1" applyAlignment="1">
      <alignment horizontal="left" wrapText="1"/>
    </xf>
    <xf numFmtId="0" fontId="21" fillId="11" borderId="3" xfId="0" applyFont="1" applyFill="1" applyBorder="1" applyAlignment="1">
      <alignment horizontal="left" wrapText="1"/>
    </xf>
    <xf numFmtId="0" fontId="22" fillId="16" borderId="2" xfId="0" applyFont="1" applyFill="1" applyBorder="1" applyAlignment="1">
      <alignment horizontal="center" vertical="center" wrapText="1"/>
    </xf>
    <xf numFmtId="0" fontId="22" fillId="16" borderId="1"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22" fillId="16" borderId="18" xfId="0" applyFont="1" applyFill="1" applyBorder="1" applyAlignment="1">
      <alignment horizontal="left" vertical="center" wrapText="1"/>
    </xf>
    <xf numFmtId="0" fontId="22" fillId="16" borderId="19" xfId="0" applyFont="1" applyFill="1" applyBorder="1" applyAlignment="1">
      <alignment horizontal="left" vertical="center" wrapText="1"/>
    </xf>
    <xf numFmtId="0" fontId="22" fillId="16" borderId="25" xfId="0" applyFont="1" applyFill="1" applyBorder="1" applyAlignment="1">
      <alignment horizontal="left" vertical="center" wrapText="1"/>
    </xf>
    <xf numFmtId="0" fontId="31" fillId="0" borderId="0" xfId="0" applyFont="1" applyAlignment="1">
      <alignment horizontal="left" vertical="center"/>
    </xf>
    <xf numFmtId="0" fontId="20" fillId="16" borderId="2" xfId="0" applyFont="1" applyFill="1" applyBorder="1" applyAlignment="1">
      <alignment horizontal="center" vertical="center"/>
    </xf>
    <xf numFmtId="0" fontId="20" fillId="16" borderId="3"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47" fillId="16" borderId="14" xfId="0" applyFont="1" applyFill="1" applyBorder="1" applyAlignment="1">
      <alignment horizontal="center" vertical="center"/>
    </xf>
    <xf numFmtId="0" fontId="48" fillId="16" borderId="11" xfId="0" applyFont="1" applyFill="1" applyBorder="1" applyAlignment="1">
      <alignment horizontal="center" vertical="center"/>
    </xf>
    <xf numFmtId="0" fontId="48" fillId="16" borderId="12" xfId="0" applyFont="1" applyFill="1" applyBorder="1" applyAlignment="1">
      <alignment horizontal="center" vertical="center"/>
    </xf>
    <xf numFmtId="0" fontId="20" fillId="16" borderId="8" xfId="0" applyFont="1" applyFill="1" applyBorder="1" applyAlignment="1">
      <alignment horizontal="center" vertical="center" wrapText="1"/>
    </xf>
    <xf numFmtId="0" fontId="20" fillId="16" borderId="10" xfId="0" applyFont="1" applyFill="1" applyBorder="1" applyAlignment="1">
      <alignment horizontal="center" vertical="center" wrapText="1"/>
    </xf>
    <xf numFmtId="0" fontId="31" fillId="0" borderId="7" xfId="0" applyFont="1" applyBorder="1" applyAlignment="1">
      <alignment horizontal="center" vertical="center"/>
    </xf>
    <xf numFmtId="0" fontId="31" fillId="0" borderId="0" xfId="0" applyFont="1" applyAlignment="1">
      <alignment horizontal="center" vertical="center"/>
    </xf>
    <xf numFmtId="0" fontId="31" fillId="0" borderId="26" xfId="0" applyFont="1" applyBorder="1" applyAlignment="1">
      <alignment horizontal="center" vertical="center"/>
    </xf>
    <xf numFmtId="0" fontId="31" fillId="0" borderId="15" xfId="0" applyFont="1" applyBorder="1" applyAlignment="1">
      <alignment horizontal="center" vertical="center"/>
    </xf>
    <xf numFmtId="0" fontId="31" fillId="0" borderId="23" xfId="0" applyFont="1" applyBorder="1" applyAlignment="1">
      <alignment horizontal="center" vertical="center"/>
    </xf>
    <xf numFmtId="0" fontId="31" fillId="0" borderId="16" xfId="0" applyFont="1" applyBorder="1" applyAlignment="1">
      <alignment horizontal="center" vertical="center"/>
    </xf>
    <xf numFmtId="0" fontId="22" fillId="9" borderId="2"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left" vertical="center" wrapText="1"/>
    </xf>
    <xf numFmtId="0" fontId="43" fillId="7" borderId="2" xfId="0" applyFont="1" applyFill="1" applyBorder="1" applyAlignment="1">
      <alignment horizontal="left" vertical="center" wrapText="1"/>
    </xf>
    <xf numFmtId="0" fontId="22" fillId="16" borderId="7" xfId="0" applyFont="1" applyFill="1" applyBorder="1" applyAlignment="1">
      <alignment horizontal="left" vertical="center" wrapText="1"/>
    </xf>
    <xf numFmtId="0" fontId="22" fillId="16" borderId="0" xfId="0" applyFont="1" applyFill="1" applyAlignment="1">
      <alignment horizontal="left" vertical="center" wrapText="1"/>
    </xf>
    <xf numFmtId="0" fontId="22" fillId="16" borderId="0" xfId="0" applyFont="1" applyFill="1" applyAlignment="1">
      <alignment vertical="center" wrapText="1"/>
    </xf>
    <xf numFmtId="0" fontId="22" fillId="11" borderId="7" xfId="0" applyFont="1" applyFill="1" applyBorder="1" applyAlignment="1">
      <alignment horizontal="left" vertical="center" wrapText="1"/>
    </xf>
    <xf numFmtId="0" fontId="21" fillId="11" borderId="0" xfId="0" applyFont="1" applyFill="1" applyAlignment="1">
      <alignment horizontal="left" vertical="center" wrapText="1"/>
    </xf>
    <xf numFmtId="0" fontId="21" fillId="11" borderId="0" xfId="0" applyFont="1" applyFill="1" applyAlignment="1">
      <alignment vertical="center" wrapText="1"/>
    </xf>
    <xf numFmtId="0" fontId="19" fillId="12" borderId="27" xfId="0" applyFont="1" applyFill="1" applyBorder="1" applyAlignment="1">
      <alignment vertical="center" wrapText="1"/>
    </xf>
    <xf numFmtId="0" fontId="21" fillId="12" borderId="24" xfId="0" applyFont="1" applyFill="1" applyBorder="1" applyAlignment="1">
      <alignment vertical="center" wrapText="1"/>
    </xf>
    <xf numFmtId="0" fontId="40" fillId="9" borderId="18" xfId="0" applyFont="1" applyFill="1" applyBorder="1" applyAlignment="1">
      <alignment horizontal="center" vertical="center" wrapText="1"/>
    </xf>
    <xf numFmtId="0" fontId="0" fillId="0" borderId="9" xfId="0" applyBorder="1" applyAlignment="1">
      <alignment horizontal="center" vertical="center" wrapText="1"/>
    </xf>
    <xf numFmtId="0" fontId="33" fillId="9" borderId="7" xfId="0" applyFont="1" applyFill="1" applyBorder="1" applyAlignment="1">
      <alignment horizontal="left" vertical="center" wrapText="1"/>
    </xf>
    <xf numFmtId="0" fontId="21" fillId="0" borderId="0" xfId="0" applyFont="1" applyAlignment="1">
      <alignment horizontal="left" vertical="center" wrapText="1"/>
    </xf>
    <xf numFmtId="0" fontId="0" fillId="0" borderId="0" xfId="0" applyAlignment="1">
      <alignment vertical="center"/>
    </xf>
    <xf numFmtId="0" fontId="22" fillId="16" borderId="7" xfId="0" applyFont="1" applyFill="1" applyBorder="1" applyAlignment="1">
      <alignment horizontal="center" vertical="center" wrapText="1"/>
    </xf>
    <xf numFmtId="0" fontId="22" fillId="16" borderId="0" xfId="0" applyFont="1" applyFill="1" applyAlignment="1">
      <alignment horizontal="center" vertical="center" wrapText="1"/>
    </xf>
    <xf numFmtId="0" fontId="69" fillId="16" borderId="0" xfId="0" applyFont="1" applyFill="1" applyAlignment="1">
      <alignment horizontal="center" vertical="center"/>
    </xf>
    <xf numFmtId="0" fontId="39" fillId="0" borderId="0" xfId="0" applyFont="1" applyAlignment="1">
      <alignment horizontal="center" vertical="center" wrapText="1"/>
    </xf>
    <xf numFmtId="0" fontId="31" fillId="0" borderId="0" xfId="0" applyFont="1" applyAlignment="1">
      <alignment horizontal="center" vertical="center" wrapText="1"/>
    </xf>
    <xf numFmtId="0" fontId="47" fillId="16" borderId="14" xfId="0" applyFont="1" applyFill="1" applyBorder="1" applyAlignment="1">
      <alignment horizontal="center" vertical="center" wrapText="1"/>
    </xf>
    <xf numFmtId="0" fontId="47" fillId="16" borderId="11" xfId="0" applyFont="1" applyFill="1" applyBorder="1" applyAlignment="1">
      <alignment horizontal="center" vertical="center" wrapText="1"/>
    </xf>
    <xf numFmtId="0" fontId="48" fillId="16" borderId="11" xfId="0" applyFont="1" applyFill="1" applyBorder="1" applyAlignment="1">
      <alignment vertical="center" wrapText="1"/>
    </xf>
    <xf numFmtId="0" fontId="48" fillId="16" borderId="12" xfId="0" applyFont="1" applyFill="1" applyBorder="1" applyAlignment="1">
      <alignment vertical="center" wrapText="1"/>
    </xf>
    <xf numFmtId="0" fontId="22" fillId="9" borderId="7" xfId="0" applyFont="1" applyFill="1" applyBorder="1" applyAlignment="1">
      <alignment horizontal="left" vertical="center" wrapText="1"/>
    </xf>
    <xf numFmtId="0" fontId="22" fillId="16" borderId="6" xfId="0" applyFont="1" applyFill="1" applyBorder="1" applyAlignment="1">
      <alignment horizontal="center" vertical="center" wrapText="1"/>
    </xf>
    <xf numFmtId="0" fontId="22" fillId="16" borderId="4" xfId="0" applyFont="1" applyFill="1" applyBorder="1" applyAlignment="1">
      <alignment horizontal="center" vertical="center" wrapText="1"/>
    </xf>
    <xf numFmtId="0" fontId="22" fillId="16" borderId="5" xfId="0" applyFont="1" applyFill="1" applyBorder="1" applyAlignment="1">
      <alignment horizontal="center" vertical="center" wrapText="1"/>
    </xf>
    <xf numFmtId="0" fontId="33" fillId="9" borderId="14" xfId="0" applyFont="1" applyFill="1" applyBorder="1" applyAlignment="1">
      <alignment horizontal="left" vertical="center"/>
    </xf>
    <xf numFmtId="0" fontId="33" fillId="9" borderId="11" xfId="0" applyFont="1" applyFill="1" applyBorder="1" applyAlignment="1">
      <alignment horizontal="left" vertical="center"/>
    </xf>
    <xf numFmtId="0" fontId="33" fillId="9" borderId="12" xfId="0" applyFont="1" applyFill="1" applyBorder="1" applyAlignment="1">
      <alignment horizontal="left" vertical="center"/>
    </xf>
    <xf numFmtId="0" fontId="22" fillId="9" borderId="14" xfId="0" applyFont="1" applyFill="1" applyBorder="1" applyAlignment="1">
      <alignment horizontal="left" vertical="center"/>
    </xf>
    <xf numFmtId="0" fontId="22" fillId="9" borderId="11" xfId="0" applyFont="1" applyFill="1" applyBorder="1" applyAlignment="1">
      <alignment horizontal="left" vertical="center"/>
    </xf>
    <xf numFmtId="0" fontId="22" fillId="9" borderId="12" xfId="0" applyFont="1" applyFill="1" applyBorder="1" applyAlignment="1">
      <alignment horizontal="left" vertical="center"/>
    </xf>
    <xf numFmtId="0" fontId="22" fillId="9" borderId="2" xfId="0" applyFont="1" applyFill="1" applyBorder="1" applyAlignment="1">
      <alignment horizontal="left" vertical="center" wrapText="1"/>
    </xf>
    <xf numFmtId="0" fontId="22" fillId="16" borderId="2" xfId="0" applyFont="1" applyFill="1" applyBorder="1" applyAlignment="1">
      <alignment horizontal="left" vertical="center" wrapText="1"/>
    </xf>
    <xf numFmtId="0" fontId="22" fillId="16" borderId="1" xfId="0" applyFont="1" applyFill="1" applyBorder="1" applyAlignment="1">
      <alignment horizontal="left" vertical="center" wrapText="1"/>
    </xf>
    <xf numFmtId="0" fontId="22" fillId="16" borderId="3" xfId="0" applyFont="1" applyFill="1" applyBorder="1" applyAlignment="1">
      <alignment horizontal="left" vertical="center" wrapText="1"/>
    </xf>
    <xf numFmtId="0" fontId="19" fillId="10" borderId="2" xfId="0" applyFont="1" applyFill="1" applyBorder="1" applyAlignment="1">
      <alignment vertical="center"/>
    </xf>
    <xf numFmtId="0" fontId="19" fillId="10" borderId="1" xfId="0" applyFont="1" applyFill="1" applyBorder="1" applyAlignment="1">
      <alignment vertical="center"/>
    </xf>
    <xf numFmtId="0" fontId="19" fillId="10" borderId="3" xfId="0" applyFont="1" applyFill="1" applyBorder="1" applyAlignment="1">
      <alignment vertical="center"/>
    </xf>
    <xf numFmtId="0" fontId="50" fillId="0" borderId="7" xfId="0" applyFont="1" applyBorder="1" applyAlignment="1">
      <alignment vertical="center"/>
    </xf>
    <xf numFmtId="0" fontId="0" fillId="0" borderId="26" xfId="0" applyBorder="1" applyAlignment="1">
      <alignment vertical="center"/>
    </xf>
    <xf numFmtId="0" fontId="20" fillId="16" borderId="1" xfId="5" applyFont="1" applyFill="1" applyBorder="1" applyAlignment="1">
      <alignment horizontal="center" vertical="center" wrapText="1"/>
    </xf>
    <xf numFmtId="0" fontId="51" fillId="7" borderId="14" xfId="0" applyFont="1" applyFill="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40" fillId="16" borderId="2" xfId="0" applyFont="1" applyFill="1" applyBorder="1" applyAlignment="1">
      <alignment horizontal="center" vertical="center" wrapText="1"/>
    </xf>
    <xf numFmtId="0" fontId="49" fillId="16" borderId="1" xfId="0" applyFont="1" applyFill="1" applyBorder="1" applyAlignment="1">
      <alignment horizontal="center" vertical="center" wrapText="1"/>
    </xf>
    <xf numFmtId="0" fontId="49" fillId="16" borderId="3" xfId="0" applyFont="1" applyFill="1" applyBorder="1" applyAlignment="1">
      <alignment horizontal="center" vertical="center" wrapText="1"/>
    </xf>
    <xf numFmtId="0" fontId="40" fillId="16" borderId="2" xfId="0" applyFont="1" applyFill="1" applyBorder="1" applyAlignment="1">
      <alignment horizontal="center" vertical="center"/>
    </xf>
    <xf numFmtId="0" fontId="40" fillId="16" borderId="1"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7" fillId="16" borderId="12" xfId="0" applyFont="1" applyFill="1" applyBorder="1" applyAlignment="1">
      <alignment horizontal="center" vertical="center" wrapText="1"/>
    </xf>
    <xf numFmtId="0" fontId="53" fillId="9" borderId="32" xfId="0" applyFont="1" applyFill="1" applyBorder="1" applyAlignment="1">
      <alignment horizontal="left" vertical="center"/>
    </xf>
    <xf numFmtId="0" fontId="53" fillId="9" borderId="29" xfId="0" applyFont="1" applyFill="1" applyBorder="1" applyAlignment="1">
      <alignment horizontal="left" vertical="center"/>
    </xf>
    <xf numFmtId="0" fontId="53" fillId="9" borderId="30" xfId="0" applyFont="1" applyFill="1" applyBorder="1" applyAlignment="1">
      <alignment horizontal="left" vertical="center"/>
    </xf>
    <xf numFmtId="0" fontId="29" fillId="8" borderId="37" xfId="0" applyFont="1" applyFill="1" applyBorder="1" applyAlignment="1">
      <alignment horizontal="left" vertical="center" wrapText="1"/>
    </xf>
    <xf numFmtId="0" fontId="29" fillId="8" borderId="38" xfId="0" applyFont="1" applyFill="1" applyBorder="1" applyAlignment="1">
      <alignment horizontal="left" vertical="center" wrapText="1"/>
    </xf>
    <xf numFmtId="0" fontId="29" fillId="8" borderId="39" xfId="0" applyFont="1" applyFill="1" applyBorder="1" applyAlignment="1">
      <alignment horizontal="left" vertical="center" wrapText="1"/>
    </xf>
    <xf numFmtId="0" fontId="53" fillId="9" borderId="2" xfId="0" applyFont="1" applyFill="1" applyBorder="1" applyAlignment="1">
      <alignment horizontal="left" vertical="center"/>
    </xf>
    <xf numFmtId="0" fontId="53" fillId="9" borderId="1" xfId="0" applyFont="1" applyFill="1" applyBorder="1" applyAlignment="1">
      <alignment horizontal="left" vertical="center"/>
    </xf>
    <xf numFmtId="0" fontId="53" fillId="9" borderId="3" xfId="0" applyFont="1" applyFill="1" applyBorder="1" applyAlignment="1">
      <alignment horizontal="left" vertical="center"/>
    </xf>
    <xf numFmtId="0" fontId="41" fillId="10" borderId="1" xfId="0" applyFont="1" applyFill="1" applyBorder="1" applyAlignment="1">
      <alignment horizontal="center" vertical="center" wrapText="1"/>
    </xf>
    <xf numFmtId="0" fontId="40" fillId="11" borderId="18" xfId="0" applyFont="1" applyFill="1" applyBorder="1" applyAlignment="1">
      <alignment horizontal="center" vertical="center" wrapText="1"/>
    </xf>
    <xf numFmtId="0" fontId="40" fillId="11" borderId="19" xfId="0" applyFont="1" applyFill="1" applyBorder="1" applyAlignment="1">
      <alignment horizontal="center" vertical="center" wrapText="1"/>
    </xf>
    <xf numFmtId="0" fontId="40" fillId="11" borderId="25" xfId="0" applyFont="1" applyFill="1" applyBorder="1" applyAlignment="1">
      <alignment horizontal="center" vertical="center" wrapText="1"/>
    </xf>
    <xf numFmtId="0" fontId="54" fillId="12" borderId="20" xfId="0" applyFont="1" applyFill="1" applyBorder="1" applyAlignment="1">
      <alignment horizontal="left" vertical="center"/>
    </xf>
    <xf numFmtId="0" fontId="31" fillId="12" borderId="21" xfId="0" applyFont="1" applyFill="1" applyBorder="1" applyAlignment="1">
      <alignment horizontal="left" vertical="center"/>
    </xf>
    <xf numFmtId="0" fontId="31" fillId="12" borderId="22" xfId="0" applyFont="1" applyFill="1" applyBorder="1" applyAlignment="1">
      <alignment horizontal="left" vertical="center"/>
    </xf>
    <xf numFmtId="0" fontId="55" fillId="0" borderId="15" xfId="0" applyFont="1" applyBorder="1" applyAlignment="1">
      <alignment horizontal="center" vertical="center"/>
    </xf>
    <xf numFmtId="0" fontId="55" fillId="0" borderId="23" xfId="0" applyFont="1" applyBorder="1" applyAlignment="1">
      <alignment horizontal="center" vertical="center"/>
    </xf>
    <xf numFmtId="0" fontId="55" fillId="0" borderId="16" xfId="0" applyFont="1" applyBorder="1" applyAlignment="1">
      <alignment horizontal="center" vertical="center"/>
    </xf>
    <xf numFmtId="0" fontId="55" fillId="0" borderId="7" xfId="0" applyFont="1" applyBorder="1" applyAlignment="1">
      <alignment horizontal="center" vertical="center"/>
    </xf>
    <xf numFmtId="0" fontId="55" fillId="0" borderId="0" xfId="0" applyFont="1" applyAlignment="1">
      <alignment horizontal="center" vertical="center"/>
    </xf>
    <xf numFmtId="0" fontId="55" fillId="0" borderId="26" xfId="0" applyFont="1" applyBorder="1" applyAlignment="1">
      <alignment horizontal="center" vertical="center"/>
    </xf>
    <xf numFmtId="0" fontId="29" fillId="8" borderId="18" xfId="0" applyFont="1" applyFill="1" applyBorder="1" applyAlignment="1">
      <alignment horizontal="left" vertical="center" wrapText="1"/>
    </xf>
    <xf numFmtId="0" fontId="29" fillId="8" borderId="19" xfId="0" applyFont="1" applyFill="1" applyBorder="1" applyAlignment="1">
      <alignment horizontal="left" vertical="center" wrapText="1"/>
    </xf>
    <xf numFmtId="0" fontId="29" fillId="8" borderId="25" xfId="0" applyFont="1" applyFill="1" applyBorder="1" applyAlignment="1">
      <alignment horizontal="left" vertical="center" wrapText="1"/>
    </xf>
    <xf numFmtId="0" fontId="29" fillId="11" borderId="18" xfId="0" applyFont="1" applyFill="1" applyBorder="1" applyAlignment="1">
      <alignment horizontal="left" vertical="center" wrapText="1"/>
    </xf>
    <xf numFmtId="0" fontId="29" fillId="11" borderId="19" xfId="0" applyFont="1" applyFill="1" applyBorder="1" applyAlignment="1">
      <alignment horizontal="left" vertical="center" wrapText="1"/>
    </xf>
    <xf numFmtId="0" fontId="29" fillId="11" borderId="25" xfId="0" applyFont="1" applyFill="1" applyBorder="1" applyAlignment="1">
      <alignment horizontal="left" vertical="center" wrapText="1"/>
    </xf>
    <xf numFmtId="0" fontId="29" fillId="9" borderId="33" xfId="0" applyFont="1" applyFill="1" applyBorder="1" applyAlignment="1">
      <alignment horizontal="left" vertical="center" wrapText="1"/>
    </xf>
    <xf numFmtId="0" fontId="29" fillId="9" borderId="34" xfId="0" applyFont="1" applyFill="1" applyBorder="1" applyAlignment="1">
      <alignment horizontal="left" vertical="center" wrapText="1"/>
    </xf>
    <xf numFmtId="0" fontId="29" fillId="9" borderId="35" xfId="0" applyFont="1" applyFill="1" applyBorder="1" applyAlignment="1">
      <alignment horizontal="left" vertical="center" wrapText="1"/>
    </xf>
    <xf numFmtId="0" fontId="30" fillId="0" borderId="19" xfId="0" applyFont="1" applyBorder="1" applyAlignment="1">
      <alignment horizontal="left" vertical="center"/>
    </xf>
    <xf numFmtId="0" fontId="30" fillId="0" borderId="25" xfId="0" applyFont="1" applyBorder="1" applyAlignment="1">
      <alignment horizontal="left" vertical="center"/>
    </xf>
    <xf numFmtId="0" fontId="29" fillId="16" borderId="20" xfId="0" applyFont="1" applyFill="1" applyBorder="1" applyAlignment="1">
      <alignment horizontal="center" vertical="center" wrapText="1"/>
    </xf>
    <xf numFmtId="0" fontId="29" fillId="16" borderId="21" xfId="0" applyFont="1" applyFill="1" applyBorder="1" applyAlignment="1">
      <alignment horizontal="center" vertical="center"/>
    </xf>
    <xf numFmtId="0" fontId="29" fillId="16" borderId="22" xfId="0" applyFont="1" applyFill="1" applyBorder="1" applyAlignment="1">
      <alignment horizontal="center" vertical="center"/>
    </xf>
    <xf numFmtId="0" fontId="47" fillId="16" borderId="20" xfId="0" applyFont="1" applyFill="1" applyBorder="1" applyAlignment="1">
      <alignment horizontal="center" vertical="center" wrapText="1"/>
    </xf>
    <xf numFmtId="0" fontId="48" fillId="16" borderId="21" xfId="0" applyFont="1" applyFill="1" applyBorder="1" applyAlignment="1">
      <alignment horizontal="center" vertical="center" wrapText="1"/>
    </xf>
    <xf numFmtId="0" fontId="48" fillId="16" borderId="22" xfId="0" applyFont="1" applyFill="1" applyBorder="1" applyAlignment="1">
      <alignment horizontal="center" vertical="center" wrapText="1"/>
    </xf>
    <xf numFmtId="0" fontId="26" fillId="9" borderId="37" xfId="0" applyFont="1" applyFill="1" applyBorder="1" applyAlignment="1">
      <alignment horizontal="left" vertical="center" wrapText="1"/>
    </xf>
    <xf numFmtId="0" fontId="28" fillId="0" borderId="38" xfId="0" applyFont="1" applyBorder="1" applyAlignment="1">
      <alignment horizontal="left" vertical="center" wrapText="1"/>
    </xf>
    <xf numFmtId="0" fontId="28" fillId="0" borderId="39" xfId="0" applyFont="1" applyBorder="1" applyAlignment="1">
      <alignment horizontal="left" vertical="center" wrapText="1"/>
    </xf>
    <xf numFmtId="0" fontId="20" fillId="11" borderId="27" xfId="0" applyFont="1" applyFill="1" applyBorder="1" applyAlignment="1">
      <alignment horizontal="center" vertical="center" wrapText="1"/>
    </xf>
    <xf numFmtId="0" fontId="22" fillId="11" borderId="24" xfId="0" applyFont="1" applyFill="1" applyBorder="1" applyAlignment="1">
      <alignment horizontal="center" vertical="center" wrapText="1"/>
    </xf>
    <xf numFmtId="0" fontId="22" fillId="11" borderId="28" xfId="0" applyFont="1" applyFill="1" applyBorder="1" applyAlignment="1">
      <alignment horizontal="center" vertical="center" wrapText="1"/>
    </xf>
    <xf numFmtId="0" fontId="21" fillId="0" borderId="2" xfId="0" applyFont="1" applyBorder="1" applyAlignment="1">
      <alignment horizontal="left" vertical="center" wrapText="1"/>
    </xf>
    <xf numFmtId="0" fontId="20" fillId="9" borderId="18" xfId="0" applyFont="1" applyFill="1" applyBorder="1" applyAlignment="1">
      <alignment horizontal="center" vertical="center" wrapText="1"/>
    </xf>
    <xf numFmtId="0" fontId="56" fillId="7" borderId="2"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22" fillId="9" borderId="3" xfId="0" applyFont="1" applyFill="1" applyBorder="1" applyAlignment="1">
      <alignment horizontal="left" vertical="center" wrapText="1"/>
    </xf>
    <xf numFmtId="0" fontId="22" fillId="11" borderId="0" xfId="0" applyFont="1" applyFill="1" applyAlignment="1">
      <alignment horizontal="left" vertical="center" wrapText="1"/>
    </xf>
    <xf numFmtId="0" fontId="22" fillId="11" borderId="26" xfId="0" applyFont="1" applyFill="1" applyBorder="1" applyAlignment="1">
      <alignment horizontal="left" vertical="center" wrapText="1"/>
    </xf>
    <xf numFmtId="0" fontId="22" fillId="9" borderId="0" xfId="0" applyFont="1" applyFill="1" applyAlignment="1">
      <alignment horizontal="left" vertical="center" wrapText="1"/>
    </xf>
    <xf numFmtId="0" fontId="22" fillId="9" borderId="26" xfId="0" applyFont="1" applyFill="1" applyBorder="1" applyAlignment="1">
      <alignment horizontal="left" vertical="center" wrapText="1"/>
    </xf>
    <xf numFmtId="0" fontId="56" fillId="6" borderId="18" xfId="0" applyFont="1" applyFill="1" applyBorder="1" applyAlignment="1">
      <alignment horizontal="left" vertical="center" wrapText="1"/>
    </xf>
    <xf numFmtId="0" fontId="21" fillId="6" borderId="19" xfId="0" applyFont="1" applyFill="1" applyBorder="1" applyAlignment="1">
      <alignment vertical="center" wrapText="1"/>
    </xf>
    <xf numFmtId="0" fontId="21" fillId="6" borderId="25" xfId="0" applyFont="1" applyFill="1" applyBorder="1" applyAlignment="1">
      <alignment vertical="center" wrapText="1"/>
    </xf>
    <xf numFmtId="0" fontId="22" fillId="16" borderId="26" xfId="0" applyFont="1" applyFill="1" applyBorder="1" applyAlignment="1">
      <alignment horizontal="center" vertical="center" wrapText="1"/>
    </xf>
    <xf numFmtId="0" fontId="60" fillId="11" borderId="18" xfId="0" applyFont="1" applyFill="1" applyBorder="1" applyAlignment="1">
      <alignment horizontal="center" vertical="center" wrapText="1"/>
    </xf>
    <xf numFmtId="0" fontId="60" fillId="11" borderId="19" xfId="0" applyFont="1" applyFill="1" applyBorder="1" applyAlignment="1">
      <alignment horizontal="center" vertical="center" wrapText="1"/>
    </xf>
    <xf numFmtId="0" fontId="60" fillId="11" borderId="25" xfId="0" applyFont="1" applyFill="1" applyBorder="1" applyAlignment="1">
      <alignment horizontal="center" vertical="center" wrapText="1"/>
    </xf>
    <xf numFmtId="0" fontId="22" fillId="9" borderId="2" xfId="0" applyFont="1" applyFill="1" applyBorder="1" applyAlignment="1">
      <alignment horizontal="left" vertical="center"/>
    </xf>
    <xf numFmtId="0" fontId="20" fillId="9" borderId="1" xfId="0" applyFont="1" applyFill="1" applyBorder="1" applyAlignment="1">
      <alignment horizontal="left" vertical="center"/>
    </xf>
    <xf numFmtId="0" fontId="20" fillId="9" borderId="3" xfId="0" applyFont="1" applyFill="1" applyBorder="1" applyAlignment="1">
      <alignment horizontal="left" vertical="center"/>
    </xf>
    <xf numFmtId="0" fontId="22" fillId="9" borderId="6" xfId="0" applyFont="1" applyFill="1" applyBorder="1" applyAlignment="1">
      <alignment horizontal="left" vertical="center" wrapText="1"/>
    </xf>
    <xf numFmtId="0" fontId="22" fillId="9" borderId="4" xfId="0" applyFont="1" applyFill="1" applyBorder="1" applyAlignment="1">
      <alignment horizontal="left" vertical="center" wrapText="1"/>
    </xf>
    <xf numFmtId="0" fontId="22" fillId="9" borderId="5" xfId="0" applyFont="1" applyFill="1" applyBorder="1" applyAlignment="1">
      <alignment horizontal="left" vertical="center" wrapText="1"/>
    </xf>
    <xf numFmtId="0" fontId="20" fillId="9" borderId="11" xfId="0" applyFont="1" applyFill="1" applyBorder="1" applyAlignment="1">
      <alignment horizontal="left" vertical="center"/>
    </xf>
    <xf numFmtId="0" fontId="20" fillId="9" borderId="12" xfId="0" applyFont="1" applyFill="1" applyBorder="1" applyAlignment="1">
      <alignment horizontal="left" vertical="center"/>
    </xf>
    <xf numFmtId="0" fontId="22" fillId="8" borderId="36" xfId="0" applyFont="1" applyFill="1" applyBorder="1" applyAlignment="1">
      <alignment horizontal="left" vertical="center" wrapText="1"/>
    </xf>
    <xf numFmtId="0" fontId="22" fillId="8" borderId="10" xfId="0" applyFont="1" applyFill="1" applyBorder="1" applyAlignment="1">
      <alignment horizontal="left" vertical="center" wrapText="1"/>
    </xf>
    <xf numFmtId="0" fontId="22" fillId="8" borderId="31" xfId="0" applyFont="1" applyFill="1" applyBorder="1" applyAlignment="1">
      <alignment horizontal="left" vertical="center" wrapText="1"/>
    </xf>
    <xf numFmtId="0" fontId="22" fillId="11" borderId="1" xfId="0" applyFont="1" applyFill="1" applyBorder="1" applyAlignment="1">
      <alignment horizontal="left" vertical="center" wrapText="1"/>
    </xf>
    <xf numFmtId="0" fontId="22" fillId="11" borderId="3" xfId="0" applyFont="1" applyFill="1" applyBorder="1" applyAlignment="1">
      <alignment horizontal="left" vertical="center" wrapText="1"/>
    </xf>
    <xf numFmtId="0" fontId="22" fillId="11" borderId="20" xfId="0" applyFont="1" applyFill="1" applyBorder="1" applyAlignment="1">
      <alignment vertical="center"/>
    </xf>
    <xf numFmtId="0" fontId="22" fillId="11" borderId="21" xfId="0" applyFont="1" applyFill="1" applyBorder="1" applyAlignment="1">
      <alignment vertical="center"/>
    </xf>
    <xf numFmtId="0" fontId="22" fillId="11" borderId="22" xfId="0" applyFont="1" applyFill="1" applyBorder="1" applyAlignment="1">
      <alignment vertical="center"/>
    </xf>
    <xf numFmtId="0" fontId="22" fillId="16" borderId="20" xfId="0" applyFont="1" applyFill="1" applyBorder="1" applyAlignment="1">
      <alignment horizontal="center" vertical="center" wrapText="1"/>
    </xf>
    <xf numFmtId="0" fontId="22" fillId="16" borderId="21" xfId="0" applyFont="1" applyFill="1" applyBorder="1" applyAlignment="1">
      <alignment horizontal="center" vertical="center"/>
    </xf>
    <xf numFmtId="0" fontId="22" fillId="16" borderId="22" xfId="0" applyFont="1" applyFill="1" applyBorder="1" applyAlignment="1">
      <alignment horizontal="center" vertical="center"/>
    </xf>
    <xf numFmtId="0" fontId="32" fillId="7" borderId="32" xfId="0" applyFont="1" applyFill="1" applyBorder="1" applyAlignment="1">
      <alignment horizontal="center" vertical="center" wrapText="1"/>
    </xf>
    <xf numFmtId="0" fontId="20" fillId="7" borderId="29" xfId="0" applyFont="1" applyFill="1" applyBorder="1" applyAlignment="1">
      <alignment horizontal="center" vertical="center" wrapText="1"/>
    </xf>
    <xf numFmtId="0" fontId="20" fillId="7" borderId="30"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4"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0" fillId="0" borderId="0" xfId="0" applyAlignment="1">
      <alignment horizontal="center"/>
    </xf>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2" fillId="0" borderId="0" xfId="0" applyFont="1" applyAlignment="1">
      <alignment horizontal="center"/>
    </xf>
    <xf numFmtId="0" fontId="15"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7" fillId="0" borderId="0" xfId="0" applyFont="1" applyAlignment="1">
      <alignment horizontal="center"/>
    </xf>
    <xf numFmtId="0" fontId="31" fillId="0" borderId="0" xfId="0" applyFont="1" applyFill="1" applyAlignment="1">
      <alignment vertical="center"/>
    </xf>
  </cellXfs>
  <cellStyles count="200">
    <cellStyle name="Currency" xfId="1" builtinId="4"/>
    <cellStyle name="Followed Hyperlink" xfId="4"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Hyperlink" xfId="3"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Normal" xfId="0" builtinId="0"/>
    <cellStyle name="Normal 2" xfId="5" xr:uid="{00000000-0005-0000-0000-0000BE000000}"/>
    <cellStyle name="Normal 2 2" xfId="192" xr:uid="{19233852-4DF0-4948-9854-17CB4BA476C4}"/>
    <cellStyle name="Normal 2 2 2" xfId="197" xr:uid="{B9E94BAB-50BB-41F2-8FA1-3C950D486FD2}"/>
    <cellStyle name="Normal 2 3" xfId="195" xr:uid="{8467BE20-77C4-BF4C-AA90-BFEA8FC0A04B}"/>
    <cellStyle name="Normal 3" xfId="194" xr:uid="{F9939895-6CF5-5B43-83D0-DFFAC36F2E7A}"/>
    <cellStyle name="Normal 3 2" xfId="199" xr:uid="{0CA51148-BEAD-4B68-AD53-51A5C03D7708}"/>
    <cellStyle name="Normal 4" xfId="196" xr:uid="{20BAF905-BB2D-AD4F-8B32-8FAB4ABCC46E}"/>
    <cellStyle name="Per cent" xfId="2" builtinId="5"/>
    <cellStyle name="Per cent 2" xfId="193" xr:uid="{3D10333D-6764-2249-A46B-B54076775621}"/>
    <cellStyle name="Per cent 2 2" xfId="198" xr:uid="{BA8EA6BD-C750-4052-96B4-D30A6A56DAF7}"/>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AA00"/>
      <color rgb="FFFCFC84"/>
      <color rgb="FF2B2B00"/>
      <color rgb="FFB28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72184" cy="537983"/>
    <xdr:pic>
      <xdr:nvPicPr>
        <xdr:cNvPr id="2" name="Picture 1" descr="new gold icon logo.jpg">
          <a:extLst>
            <a:ext uri="{FF2B5EF4-FFF2-40B4-BE49-F238E27FC236}">
              <a16:creationId xmlns:a16="http://schemas.microsoft.com/office/drawing/2014/main" id="{54FCD845-441C-3D44-904C-C12AA3117B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72184" cy="53798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237135</xdr:colOff>
      <xdr:row>0</xdr:row>
      <xdr:rowOff>537110</xdr:rowOff>
    </xdr:to>
    <xdr:pic>
      <xdr:nvPicPr>
        <xdr:cNvPr id="4" name="Picture 3" descr="new gold icon logo.jpg">
          <a:extLst>
            <a:ext uri="{FF2B5EF4-FFF2-40B4-BE49-F238E27FC236}">
              <a16:creationId xmlns:a16="http://schemas.microsoft.com/office/drawing/2014/main" id="{2E5F4D85-F8DD-2446-8A8E-DAB005D307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72792" cy="5371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xdr:colOff>
      <xdr:row>1</xdr:row>
      <xdr:rowOff>63500</xdr:rowOff>
    </xdr:from>
    <xdr:to>
      <xdr:col>1</xdr:col>
      <xdr:colOff>723392</xdr:colOff>
      <xdr:row>2</xdr:row>
      <xdr:rowOff>232310</xdr:rowOff>
    </xdr:to>
    <xdr:pic>
      <xdr:nvPicPr>
        <xdr:cNvPr id="5" name="Picture 4" descr="new gold icon logo.jpg">
          <a:extLst>
            <a:ext uri="{FF2B5EF4-FFF2-40B4-BE49-F238E27FC236}">
              <a16:creationId xmlns:a16="http://schemas.microsoft.com/office/drawing/2014/main" id="{BFA4ED34-A358-F643-9B9D-7C697FE062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 y="431800"/>
          <a:ext cx="2272792" cy="5371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165100</xdr:colOff>
      <xdr:row>0</xdr:row>
      <xdr:rowOff>50800</xdr:rowOff>
    </xdr:from>
    <xdr:to>
      <xdr:col>2</xdr:col>
      <xdr:colOff>386137</xdr:colOff>
      <xdr:row>0</xdr:row>
      <xdr:rowOff>587910</xdr:rowOff>
    </xdr:to>
    <xdr:pic>
      <xdr:nvPicPr>
        <xdr:cNvPr id="3" name="Picture 2" descr="new gold icon logo.jpg">
          <a:extLst>
            <a:ext uri="{FF2B5EF4-FFF2-40B4-BE49-F238E27FC236}">
              <a16:creationId xmlns:a16="http://schemas.microsoft.com/office/drawing/2014/main" id="{ACF5DD98-7F3D-FE4E-8AA6-47B93B083E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50800"/>
          <a:ext cx="2272792" cy="5371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101600</xdr:colOff>
      <xdr:row>0</xdr:row>
      <xdr:rowOff>0</xdr:rowOff>
    </xdr:from>
    <xdr:to>
      <xdr:col>2</xdr:col>
      <xdr:colOff>337187</xdr:colOff>
      <xdr:row>0</xdr:row>
      <xdr:rowOff>537110</xdr:rowOff>
    </xdr:to>
    <xdr:pic>
      <xdr:nvPicPr>
        <xdr:cNvPr id="4" name="Picture 3" descr="new gold icon logo.jpg">
          <a:extLst>
            <a:ext uri="{FF2B5EF4-FFF2-40B4-BE49-F238E27FC236}">
              <a16:creationId xmlns:a16="http://schemas.microsoft.com/office/drawing/2014/main" id="{EE743FF1-7096-DF4F-8BFF-C06B67934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0"/>
          <a:ext cx="2272792" cy="5371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88900</xdr:colOff>
      <xdr:row>0</xdr:row>
      <xdr:rowOff>127000</xdr:rowOff>
    </xdr:from>
    <xdr:to>
      <xdr:col>2</xdr:col>
      <xdr:colOff>161987</xdr:colOff>
      <xdr:row>3</xdr:row>
      <xdr:rowOff>130710</xdr:rowOff>
    </xdr:to>
    <xdr:pic>
      <xdr:nvPicPr>
        <xdr:cNvPr id="4" name="Picture 3" descr="new gold icon logo.jpg">
          <a:extLst>
            <a:ext uri="{FF2B5EF4-FFF2-40B4-BE49-F238E27FC236}">
              <a16:creationId xmlns:a16="http://schemas.microsoft.com/office/drawing/2014/main" id="{0DE4E8FE-9A7D-E147-B50E-8FF2A30907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127000"/>
          <a:ext cx="2272792" cy="53711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2</xdr:col>
      <xdr:colOff>478946</xdr:colOff>
      <xdr:row>1</xdr:row>
      <xdr:rowOff>16410</xdr:rowOff>
    </xdr:to>
    <xdr:pic>
      <xdr:nvPicPr>
        <xdr:cNvPr id="4" name="Picture 3" descr="new gold icon logo.jpg">
          <a:extLst>
            <a:ext uri="{FF2B5EF4-FFF2-40B4-BE49-F238E27FC236}">
              <a16:creationId xmlns:a16="http://schemas.microsoft.com/office/drawing/2014/main" id="{839D824D-A93A-7644-A213-2FD6EF1130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38100"/>
          <a:ext cx="2272792" cy="5371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285750</xdr:colOff>
      <xdr:row>0</xdr:row>
      <xdr:rowOff>0</xdr:rowOff>
    </xdr:to>
    <xdr:pic>
      <xdr:nvPicPr>
        <xdr:cNvPr id="5155" name="Picture 2" descr="eskimolo_100dpi_for spreadsheets.jpg">
          <a:extLst>
            <a:ext uri="{FF2B5EF4-FFF2-40B4-BE49-F238E27FC236}">
              <a16:creationId xmlns:a16="http://schemas.microsoft.com/office/drawing/2014/main" id="{00000000-0008-0000-0700-000023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9075"/>
          <a:ext cx="180975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0</xdr:colOff>
      <xdr:row>0</xdr:row>
      <xdr:rowOff>76200</xdr:rowOff>
    </xdr:from>
    <xdr:to>
      <xdr:col>2</xdr:col>
      <xdr:colOff>466725</xdr:colOff>
      <xdr:row>0</xdr:row>
      <xdr:rowOff>485775</xdr:rowOff>
    </xdr:to>
    <xdr:pic>
      <xdr:nvPicPr>
        <xdr:cNvPr id="5156" name="Picture 3" descr="eskimolo_100dpi_for spreadsheets.jpg">
          <a:extLst>
            <a:ext uri="{FF2B5EF4-FFF2-40B4-BE49-F238E27FC236}">
              <a16:creationId xmlns:a16="http://schemas.microsoft.com/office/drawing/2014/main" id="{00000000-0008-0000-0700-000024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
          <a:ext cx="1990725"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DD6C8-4D7E-A343-9ECC-C52977A55CC6}">
  <sheetPr codeName="Hoja1">
    <pageSetUpPr fitToPage="1"/>
  </sheetPr>
  <dimension ref="A1:AY69"/>
  <sheetViews>
    <sheetView tabSelected="1" topLeftCell="A13" zoomScale="140" zoomScaleNormal="140" zoomScalePageLayoutView="125" workbookViewId="0">
      <selection activeCell="AD28" sqref="AD28"/>
    </sheetView>
  </sheetViews>
  <sheetFormatPr baseColWidth="10" defaultColWidth="11" defaultRowHeight="13" x14ac:dyDescent="0.15"/>
  <cols>
    <col min="1" max="1" width="13.59765625" style="127" customWidth="1"/>
    <col min="2" max="2" width="13.3984375" style="127" customWidth="1"/>
    <col min="3" max="3" width="14" style="127" customWidth="1"/>
    <col min="4" max="4" width="7.3984375" style="127" customWidth="1"/>
    <col min="5" max="5" width="6.796875" style="127" customWidth="1"/>
    <col min="6" max="6" width="7" style="127" customWidth="1"/>
    <col min="7" max="7" width="6.19921875" style="127" customWidth="1"/>
    <col min="8" max="8" width="7.3984375" style="127" customWidth="1"/>
    <col min="9" max="9" width="6.19921875" style="127" customWidth="1"/>
    <col min="10" max="10" width="7.3984375" style="127" customWidth="1"/>
    <col min="11" max="15" width="6.796875" style="127" customWidth="1"/>
    <col min="16" max="16" width="8.3984375" style="127" customWidth="1"/>
    <col min="17" max="17" width="6.19921875" style="127" customWidth="1"/>
    <col min="18" max="18" width="8" style="127" customWidth="1"/>
    <col min="19" max="19" width="6.19921875" style="127" customWidth="1"/>
    <col min="20" max="21" width="7.3984375" style="127" customWidth="1"/>
    <col min="22" max="22" width="8.3984375" style="127" customWidth="1"/>
    <col min="23" max="23" width="7.796875" style="127" customWidth="1"/>
    <col min="24" max="24" width="8.19921875" style="127" customWidth="1"/>
    <col min="25" max="25" width="6.19921875" style="127" customWidth="1"/>
    <col min="26" max="26" width="8" style="127" customWidth="1"/>
    <col min="27" max="27" width="7.59765625" style="127" customWidth="1"/>
    <col min="28" max="28" width="9" style="127" customWidth="1"/>
    <col min="29" max="29" width="7" style="127" customWidth="1"/>
    <col min="30" max="30" width="7.796875" style="127" customWidth="1"/>
    <col min="31" max="31" width="7.19921875" style="127" customWidth="1"/>
    <col min="32" max="32" width="6.796875" style="127" customWidth="1"/>
    <col min="33" max="33" width="6" style="127" customWidth="1"/>
    <col min="34" max="34" width="6.19921875" style="127" customWidth="1"/>
    <col min="35" max="35" width="8.19921875" style="127" customWidth="1"/>
    <col min="36" max="36" width="5.796875" style="127" customWidth="1"/>
    <col min="37" max="37" width="7.19921875" style="127" customWidth="1"/>
    <col min="38" max="38" width="6.3984375" style="127" customWidth="1"/>
    <col min="39" max="39" width="6.796875" style="127" customWidth="1"/>
    <col min="40" max="41" width="6" style="127" customWidth="1"/>
    <col min="42" max="42" width="6.796875" style="127" customWidth="1"/>
    <col min="43" max="43" width="6.19921875" style="127" customWidth="1"/>
    <col min="44" max="44" width="6.3984375" style="127" customWidth="1"/>
    <col min="45" max="45" width="5.796875" style="127" customWidth="1"/>
    <col min="46" max="46" width="5.19921875" style="127" customWidth="1"/>
    <col min="47" max="47" width="6.796875" style="127" customWidth="1"/>
    <col min="48" max="48" width="5.796875" style="127" customWidth="1"/>
    <col min="49" max="49" width="5.19921875" style="127" customWidth="1"/>
    <col min="50" max="50" width="8.796875" style="127" customWidth="1"/>
    <col min="51" max="16384" width="11" style="127"/>
  </cols>
  <sheetData>
    <row r="1" spans="1:51" x14ac:dyDescent="0.15">
      <c r="A1" s="283"/>
      <c r="B1" s="283"/>
      <c r="C1" s="283"/>
      <c r="D1" s="283"/>
      <c r="E1" s="283"/>
      <c r="F1" s="283"/>
      <c r="G1" s="283"/>
      <c r="H1" s="283"/>
      <c r="I1" s="283"/>
    </row>
    <row r="2" spans="1:51" x14ac:dyDescent="0.15">
      <c r="A2" s="283"/>
      <c r="B2" s="283"/>
      <c r="C2" s="283"/>
      <c r="D2" s="283"/>
      <c r="E2" s="283"/>
      <c r="F2" s="283"/>
      <c r="G2" s="283"/>
      <c r="H2" s="283"/>
      <c r="I2" s="283"/>
    </row>
    <row r="3" spans="1:51" x14ac:dyDescent="0.15">
      <c r="A3" s="283"/>
      <c r="B3" s="283"/>
      <c r="C3" s="283"/>
      <c r="D3" s="283"/>
      <c r="E3" s="283"/>
      <c r="F3" s="283"/>
      <c r="G3" s="283"/>
      <c r="H3" s="283"/>
      <c r="I3" s="283"/>
    </row>
    <row r="4" spans="1:51" ht="5.25" customHeight="1" x14ac:dyDescent="0.15">
      <c r="A4" s="283"/>
      <c r="B4" s="283"/>
      <c r="C4" s="283"/>
      <c r="D4" s="283"/>
      <c r="E4" s="283"/>
      <c r="F4" s="283"/>
      <c r="G4" s="283"/>
      <c r="H4" s="283"/>
      <c r="I4" s="283"/>
    </row>
    <row r="5" spans="1:51" ht="3" customHeight="1" thickBot="1" x14ac:dyDescent="0.2">
      <c r="A5" s="283"/>
      <c r="B5" s="283"/>
      <c r="C5" s="283"/>
      <c r="D5" s="283"/>
      <c r="E5" s="283"/>
      <c r="F5" s="283"/>
      <c r="G5" s="283"/>
      <c r="H5" s="283"/>
      <c r="I5" s="283"/>
      <c r="K5" s="174"/>
      <c r="L5" s="174"/>
      <c r="M5" s="174"/>
      <c r="N5" s="174"/>
      <c r="O5" s="174"/>
      <c r="P5" s="174"/>
      <c r="Q5" s="174"/>
      <c r="R5" s="174"/>
      <c r="S5" s="174"/>
    </row>
    <row r="6" spans="1:51" ht="25" customHeight="1" x14ac:dyDescent="0.15">
      <c r="A6" s="284" t="s">
        <v>292</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6"/>
      <c r="AB6" s="131"/>
      <c r="AC6" s="131"/>
      <c r="AD6" s="131"/>
      <c r="AE6" s="131"/>
      <c r="AF6" s="131"/>
      <c r="AG6" s="131"/>
    </row>
    <row r="7" spans="1:51" ht="25" customHeight="1" x14ac:dyDescent="0.15">
      <c r="A7" s="287" t="s">
        <v>288</v>
      </c>
      <c r="B7" s="288"/>
      <c r="C7" s="288"/>
      <c r="D7" s="288"/>
      <c r="E7" s="288"/>
      <c r="F7" s="288"/>
      <c r="G7" s="288"/>
      <c r="H7" s="288"/>
      <c r="I7" s="288"/>
      <c r="J7" s="288"/>
      <c r="K7" s="288"/>
      <c r="L7" s="288"/>
      <c r="M7" s="288"/>
      <c r="N7" s="288"/>
      <c r="O7" s="288"/>
      <c r="P7" s="288"/>
      <c r="Q7" s="289"/>
      <c r="R7" s="289"/>
      <c r="S7" s="289"/>
      <c r="T7" s="289"/>
      <c r="U7" s="289"/>
      <c r="V7" s="289"/>
      <c r="W7" s="289"/>
      <c r="X7" s="289"/>
      <c r="Y7" s="289"/>
      <c r="Z7" s="289"/>
      <c r="AA7" s="290"/>
      <c r="AB7" s="131"/>
      <c r="AC7" s="131"/>
      <c r="AD7" s="131"/>
      <c r="AE7" s="131"/>
      <c r="AF7" s="131"/>
      <c r="AG7" s="131"/>
    </row>
    <row r="8" spans="1:51" x14ac:dyDescent="0.15">
      <c r="A8" s="291" t="s">
        <v>16</v>
      </c>
      <c r="B8" s="292"/>
      <c r="C8" s="292"/>
      <c r="D8" s="273">
        <v>1</v>
      </c>
      <c r="E8" s="248"/>
      <c r="F8" s="273">
        <v>2</v>
      </c>
      <c r="G8" s="248"/>
      <c r="H8" s="273">
        <v>3</v>
      </c>
      <c r="I8" s="248"/>
      <c r="J8" s="273">
        <v>4</v>
      </c>
      <c r="K8" s="248"/>
      <c r="L8" s="273">
        <v>5</v>
      </c>
      <c r="M8" s="248"/>
      <c r="N8" s="273">
        <v>6</v>
      </c>
      <c r="O8" s="248"/>
      <c r="P8" s="273">
        <v>7</v>
      </c>
      <c r="Q8" s="248"/>
      <c r="R8" s="273">
        <v>8</v>
      </c>
      <c r="S8" s="248"/>
      <c r="T8" s="273">
        <v>9</v>
      </c>
      <c r="U8" s="248"/>
      <c r="V8" s="273">
        <v>10</v>
      </c>
      <c r="W8" s="248"/>
      <c r="X8" s="273">
        <v>11</v>
      </c>
      <c r="Y8" s="248"/>
      <c r="Z8" s="273">
        <v>12</v>
      </c>
      <c r="AA8" s="266"/>
      <c r="AB8" s="131"/>
      <c r="AC8" s="131"/>
      <c r="AD8" s="131"/>
      <c r="AE8" s="131"/>
      <c r="AF8" s="131"/>
      <c r="AG8" s="131"/>
    </row>
    <row r="9" spans="1:51" ht="52" customHeight="1" x14ac:dyDescent="0.15">
      <c r="A9" s="259" t="s">
        <v>277</v>
      </c>
      <c r="B9" s="260"/>
      <c r="C9" s="260"/>
      <c r="D9" s="247">
        <v>233</v>
      </c>
      <c r="E9" s="248"/>
      <c r="F9" s="247">
        <v>476</v>
      </c>
      <c r="G9" s="248"/>
      <c r="H9" s="247">
        <v>720</v>
      </c>
      <c r="I9" s="248"/>
      <c r="J9" s="247">
        <v>963</v>
      </c>
      <c r="K9" s="248"/>
      <c r="L9" s="247">
        <v>1207</v>
      </c>
      <c r="M9" s="248"/>
      <c r="N9" s="247">
        <v>1451</v>
      </c>
      <c r="O9" s="248"/>
      <c r="P9" s="247">
        <v>1694</v>
      </c>
      <c r="Q9" s="248"/>
      <c r="R9" s="247">
        <v>1938</v>
      </c>
      <c r="S9" s="248"/>
      <c r="T9" s="247">
        <v>2181</v>
      </c>
      <c r="U9" s="248"/>
      <c r="V9" s="247">
        <v>2425</v>
      </c>
      <c r="W9" s="248"/>
      <c r="X9" s="247">
        <v>2669</v>
      </c>
      <c r="Y9" s="248"/>
      <c r="Z9" s="247">
        <v>2912</v>
      </c>
      <c r="AA9" s="266"/>
      <c r="AB9" s="131"/>
      <c r="AC9" s="131"/>
      <c r="AD9" s="131"/>
      <c r="AE9" s="131"/>
      <c r="AF9" s="131"/>
      <c r="AG9" s="131"/>
    </row>
    <row r="10" spans="1:51" x14ac:dyDescent="0.15">
      <c r="A10" s="267" t="s">
        <v>276</v>
      </c>
      <c r="B10" s="268"/>
      <c r="C10" s="268"/>
      <c r="D10" s="245">
        <f>D9-3+90</f>
        <v>320</v>
      </c>
      <c r="E10" s="245"/>
      <c r="F10" s="245">
        <f>F9+87</f>
        <v>563</v>
      </c>
      <c r="G10" s="245"/>
      <c r="H10" s="245">
        <f>H9+87</f>
        <v>807</v>
      </c>
      <c r="I10" s="245"/>
      <c r="J10" s="245">
        <f>J9+87</f>
        <v>1050</v>
      </c>
      <c r="K10" s="245"/>
      <c r="L10" s="245">
        <f>L9+87</f>
        <v>1294</v>
      </c>
      <c r="M10" s="245"/>
      <c r="N10" s="245">
        <f>N9+87</f>
        <v>1538</v>
      </c>
      <c r="O10" s="245"/>
      <c r="P10" s="245">
        <f>P9+87</f>
        <v>1781</v>
      </c>
      <c r="Q10" s="245"/>
      <c r="R10" s="245">
        <f>R9+87</f>
        <v>2025</v>
      </c>
      <c r="S10" s="245"/>
      <c r="T10" s="245">
        <f>T9+87</f>
        <v>2268</v>
      </c>
      <c r="U10" s="245"/>
      <c r="V10" s="245">
        <f>V9+87</f>
        <v>2512</v>
      </c>
      <c r="W10" s="245"/>
      <c r="X10" s="245">
        <f>X9+87</f>
        <v>2756</v>
      </c>
      <c r="Y10" s="245"/>
      <c r="Z10" s="245">
        <f>Z9+87</f>
        <v>2999</v>
      </c>
      <c r="AA10" s="246"/>
      <c r="AB10" s="131"/>
      <c r="AC10" s="131"/>
      <c r="AD10" s="131"/>
      <c r="AE10" s="131"/>
      <c r="AF10" s="131"/>
      <c r="AG10" s="131"/>
    </row>
    <row r="11" spans="1:51" ht="14" x14ac:dyDescent="0.15">
      <c r="A11" s="153"/>
      <c r="B11" s="173"/>
      <c r="C11" s="151" t="s">
        <v>234</v>
      </c>
      <c r="D11" s="175" t="s">
        <v>18</v>
      </c>
      <c r="E11" s="176" t="s">
        <v>17</v>
      </c>
      <c r="F11" s="176" t="s">
        <v>18</v>
      </c>
      <c r="G11" s="176" t="s">
        <v>17</v>
      </c>
      <c r="H11" s="176" t="s">
        <v>18</v>
      </c>
      <c r="I11" s="176" t="s">
        <v>17</v>
      </c>
      <c r="J11" s="176" t="s">
        <v>18</v>
      </c>
      <c r="K11" s="176" t="s">
        <v>17</v>
      </c>
      <c r="L11" s="176" t="s">
        <v>18</v>
      </c>
      <c r="M11" s="176" t="s">
        <v>17</v>
      </c>
      <c r="N11" s="176" t="s">
        <v>18</v>
      </c>
      <c r="O11" s="176" t="s">
        <v>17</v>
      </c>
      <c r="P11" s="176" t="s">
        <v>18</v>
      </c>
      <c r="Q11" s="176" t="s">
        <v>17</v>
      </c>
      <c r="R11" s="176" t="s">
        <v>18</v>
      </c>
      <c r="S11" s="176" t="s">
        <v>17</v>
      </c>
      <c r="T11" s="176" t="s">
        <v>18</v>
      </c>
      <c r="U11" s="176" t="s">
        <v>17</v>
      </c>
      <c r="V11" s="176" t="s">
        <v>18</v>
      </c>
      <c r="W11" s="176" t="s">
        <v>17</v>
      </c>
      <c r="X11" s="176" t="s">
        <v>18</v>
      </c>
      <c r="Y11" s="176" t="s">
        <v>17</v>
      </c>
      <c r="Z11" s="176" t="s">
        <v>18</v>
      </c>
      <c r="AA11" s="177" t="s">
        <v>17</v>
      </c>
      <c r="AB11" s="131"/>
      <c r="AC11" s="131"/>
      <c r="AD11" s="131"/>
      <c r="AE11" s="131"/>
      <c r="AF11" s="131"/>
      <c r="AG11" s="131"/>
    </row>
    <row r="12" spans="1:51" ht="13" customHeight="1" x14ac:dyDescent="0.15">
      <c r="A12" s="264" t="s">
        <v>275</v>
      </c>
      <c r="B12" s="183">
        <v>200</v>
      </c>
      <c r="C12" s="184"/>
      <c r="D12" s="184">
        <v>220</v>
      </c>
      <c r="E12" s="184">
        <v>196.5486140909091</v>
      </c>
      <c r="F12" s="184">
        <f>D12*F8</f>
        <v>440</v>
      </c>
      <c r="G12" s="185">
        <v>324.31600090909092</v>
      </c>
      <c r="H12" s="184">
        <f>D12*H8</f>
        <v>660</v>
      </c>
      <c r="I12" s="185">
        <v>448.38717560606062</v>
      </c>
      <c r="J12" s="143">
        <v>880</v>
      </c>
      <c r="K12" s="142">
        <v>572.45835030303033</v>
      </c>
      <c r="L12" s="143">
        <v>1100</v>
      </c>
      <c r="M12" s="142">
        <v>696.52952500000004</v>
      </c>
      <c r="N12" s="143">
        <v>1320</v>
      </c>
      <c r="O12" s="142">
        <v>820.60069969696951</v>
      </c>
      <c r="P12" s="143">
        <v>1540</v>
      </c>
      <c r="Q12" s="142">
        <v>944.67187439393945</v>
      </c>
      <c r="R12" s="143">
        <v>1760</v>
      </c>
      <c r="S12" s="142">
        <v>1068.7430490909092</v>
      </c>
      <c r="T12" s="143">
        <v>1980</v>
      </c>
      <c r="U12" s="142">
        <v>1193.5534662121213</v>
      </c>
      <c r="V12" s="143">
        <v>2200</v>
      </c>
      <c r="W12" s="142">
        <v>1217.8269136363638</v>
      </c>
      <c r="X12" s="143">
        <v>2420</v>
      </c>
      <c r="Y12" s="142">
        <v>1323.4170277272726</v>
      </c>
      <c r="Z12" s="143">
        <v>2640</v>
      </c>
      <c r="AA12" s="141">
        <v>1429.0071418181819</v>
      </c>
      <c r="AB12" s="129"/>
      <c r="AC12" s="131"/>
      <c r="AD12" s="129"/>
      <c r="AE12" s="131"/>
      <c r="AF12" s="129"/>
      <c r="AG12" s="131"/>
      <c r="AH12" s="129"/>
      <c r="AI12" s="131"/>
      <c r="AJ12" s="129"/>
      <c r="AK12" s="131"/>
      <c r="AL12" s="129"/>
      <c r="AM12" s="131"/>
      <c r="AN12" s="129"/>
      <c r="AO12" s="131"/>
      <c r="AP12" s="129"/>
      <c r="AQ12" s="131"/>
      <c r="AR12" s="129"/>
      <c r="AS12" s="131"/>
      <c r="AT12" s="129"/>
      <c r="AU12" s="131"/>
      <c r="AV12" s="129"/>
      <c r="AW12" s="131"/>
      <c r="AX12" s="129"/>
      <c r="AY12" s="131"/>
    </row>
    <row r="13" spans="1:51" x14ac:dyDescent="0.15">
      <c r="A13" s="264"/>
      <c r="B13" s="183">
        <v>400</v>
      </c>
      <c r="C13" s="184"/>
      <c r="D13" s="185">
        <f>1228/3</f>
        <v>409.33333333333331</v>
      </c>
      <c r="E13" s="184">
        <v>240.33806151515148</v>
      </c>
      <c r="F13" s="184">
        <f>D13*F8</f>
        <v>818.66666666666663</v>
      </c>
      <c r="G13" s="185">
        <v>411.15565333333325</v>
      </c>
      <c r="H13" s="185">
        <v>1228</v>
      </c>
      <c r="I13" s="184">
        <v>578.27703303030296</v>
      </c>
      <c r="J13" s="159">
        <v>1638</v>
      </c>
      <c r="K13" s="172">
        <v>745.39841272727256</v>
      </c>
      <c r="L13" s="159">
        <v>2047</v>
      </c>
      <c r="M13" s="172">
        <v>912.51979242424227</v>
      </c>
      <c r="N13" s="159">
        <v>2457</v>
      </c>
      <c r="O13" s="172">
        <v>1079.6411721212119</v>
      </c>
      <c r="P13" s="159">
        <v>2866</v>
      </c>
      <c r="Q13" s="172">
        <v>1246.7625518181817</v>
      </c>
      <c r="R13" s="159">
        <v>3276</v>
      </c>
      <c r="S13" s="172">
        <v>1413.8839315151515</v>
      </c>
      <c r="T13" s="159">
        <v>3685</v>
      </c>
      <c r="U13" s="172">
        <v>1581.7445536363634</v>
      </c>
      <c r="V13" s="159">
        <f>$D13*V8</f>
        <v>4093.333333333333</v>
      </c>
      <c r="W13" s="159">
        <v>1649.0682060606057</v>
      </c>
      <c r="X13" s="159">
        <f>$D13*X8</f>
        <v>4502.6666666666661</v>
      </c>
      <c r="Y13" s="159">
        <v>1797.708525151515</v>
      </c>
      <c r="Z13" s="159">
        <f>$D13*Z8</f>
        <v>4912</v>
      </c>
      <c r="AA13" s="158">
        <v>1946.3488442424241</v>
      </c>
      <c r="AB13" s="129"/>
      <c r="AC13" s="131"/>
      <c r="AD13" s="129"/>
      <c r="AE13" s="131"/>
      <c r="AF13" s="129"/>
      <c r="AG13" s="131"/>
      <c r="AH13" s="129"/>
      <c r="AI13" s="131"/>
      <c r="AJ13" s="129"/>
      <c r="AK13" s="131"/>
      <c r="AL13" s="129"/>
      <c r="AM13" s="131"/>
      <c r="AN13" s="129"/>
      <c r="AO13" s="131"/>
      <c r="AP13" s="129"/>
      <c r="AQ13" s="131"/>
      <c r="AS13" s="131"/>
      <c r="AT13" s="129"/>
      <c r="AU13" s="131"/>
      <c r="AV13" s="129"/>
      <c r="AW13" s="131"/>
      <c r="AX13" s="129"/>
      <c r="AY13" s="131"/>
    </row>
    <row r="14" spans="1:51" x14ac:dyDescent="0.15">
      <c r="A14" s="264"/>
      <c r="B14" s="183">
        <v>600</v>
      </c>
      <c r="C14" s="184"/>
      <c r="D14" s="185">
        <v>579</v>
      </c>
      <c r="E14" s="184">
        <v>284.12750893939386</v>
      </c>
      <c r="F14" s="185">
        <v>1157</v>
      </c>
      <c r="G14" s="184">
        <v>497.99530575757575</v>
      </c>
      <c r="H14" s="185">
        <v>1736</v>
      </c>
      <c r="I14" s="184">
        <v>708.16689045454541</v>
      </c>
      <c r="J14" s="159">
        <v>2315</v>
      </c>
      <c r="K14" s="172">
        <v>918.3384751515149</v>
      </c>
      <c r="L14" s="159">
        <v>2893</v>
      </c>
      <c r="M14" s="172">
        <v>1128.5100598484848</v>
      </c>
      <c r="N14" s="159">
        <v>3472</v>
      </c>
      <c r="O14" s="172">
        <v>1338.6816445454542</v>
      </c>
      <c r="P14" s="159">
        <v>4051</v>
      </c>
      <c r="Q14" s="172">
        <v>1548.8532292424238</v>
      </c>
      <c r="R14" s="159">
        <f>$D14*R8</f>
        <v>4632</v>
      </c>
      <c r="S14" s="159">
        <v>1759.0248139393937</v>
      </c>
      <c r="T14" s="159">
        <f>$D14*T8</f>
        <v>5211</v>
      </c>
      <c r="U14" s="159">
        <v>1969.9356410606058</v>
      </c>
      <c r="V14" s="159">
        <f>$D14*V8</f>
        <v>5790</v>
      </c>
      <c r="W14" s="159">
        <v>2080.3094984848485</v>
      </c>
      <c r="X14" s="159">
        <f>$D14*X8</f>
        <v>6369</v>
      </c>
      <c r="Y14" s="159">
        <v>2272.0000225757567</v>
      </c>
      <c r="Z14" s="159">
        <f>$D14*Z8</f>
        <v>6948</v>
      </c>
      <c r="AA14" s="158">
        <v>2463.6905466666663</v>
      </c>
      <c r="AB14" s="129"/>
      <c r="AC14" s="131"/>
      <c r="AD14" s="129"/>
      <c r="AE14" s="131"/>
      <c r="AF14" s="129"/>
      <c r="AG14" s="131"/>
      <c r="AH14" s="129"/>
      <c r="AI14" s="131"/>
      <c r="AJ14" s="129"/>
      <c r="AK14" s="131"/>
      <c r="AL14" s="129"/>
      <c r="AM14" s="131"/>
      <c r="AN14" s="129"/>
      <c r="AO14" s="131"/>
      <c r="AP14" s="129"/>
      <c r="AQ14" s="131"/>
      <c r="AR14" s="129"/>
      <c r="AS14" s="131"/>
      <c r="AT14" s="129"/>
      <c r="AU14" s="131"/>
      <c r="AV14" s="129"/>
      <c r="AW14" s="131"/>
      <c r="AX14" s="129"/>
      <c r="AY14" s="131"/>
    </row>
    <row r="15" spans="1:51" x14ac:dyDescent="0.15">
      <c r="A15" s="264"/>
      <c r="B15" s="183">
        <v>1000</v>
      </c>
      <c r="C15" s="184"/>
      <c r="D15" s="185">
        <v>914</v>
      </c>
      <c r="E15" s="184">
        <v>370.96716136363642</v>
      </c>
      <c r="F15" s="185">
        <v>1827</v>
      </c>
      <c r="G15" s="184">
        <v>670.93536818181815</v>
      </c>
      <c r="H15" s="185">
        <v>2741</v>
      </c>
      <c r="I15" s="184">
        <v>967.20736287878776</v>
      </c>
      <c r="J15" s="143">
        <v>3655</v>
      </c>
      <c r="K15" s="142">
        <v>1263.4793575757576</v>
      </c>
      <c r="L15" s="143">
        <f>$D15*L8</f>
        <v>4570</v>
      </c>
      <c r="M15" s="159">
        <v>1559.7513522727272</v>
      </c>
      <c r="N15" s="143">
        <f>$D15*N8</f>
        <v>5484</v>
      </c>
      <c r="O15" s="159">
        <v>1856.0233469696968</v>
      </c>
      <c r="P15" s="143">
        <f>$D15*P8</f>
        <v>6398</v>
      </c>
      <c r="Q15" s="159">
        <v>2152.2953416666669</v>
      </c>
      <c r="R15" s="143">
        <f>$D15*R8</f>
        <v>7312</v>
      </c>
      <c r="S15" s="159">
        <v>2448.5673363636361</v>
      </c>
      <c r="T15" s="143">
        <f>$D15*T8</f>
        <v>8226</v>
      </c>
      <c r="U15" s="159">
        <v>2745.5785734848482</v>
      </c>
      <c r="V15" s="143">
        <f>$D15*V8</f>
        <v>9140</v>
      </c>
      <c r="W15" s="159">
        <v>2942.0528409090907</v>
      </c>
      <c r="X15" s="143">
        <f>$D15*X8</f>
        <v>10054</v>
      </c>
      <c r="Y15" s="159">
        <v>3219.8437750000003</v>
      </c>
      <c r="Z15" s="143">
        <f>$D15*Z8</f>
        <v>10968</v>
      </c>
      <c r="AA15" s="158">
        <v>3497.6347090909089</v>
      </c>
      <c r="AB15" s="129"/>
      <c r="AC15" s="131"/>
      <c r="AD15" s="129"/>
      <c r="AE15" s="131"/>
      <c r="AF15" s="129"/>
      <c r="AG15" s="131"/>
      <c r="AH15" s="129"/>
      <c r="AI15" s="131"/>
      <c r="AJ15" s="129"/>
      <c r="AK15" s="131"/>
      <c r="AL15" s="129"/>
      <c r="AM15" s="131"/>
      <c r="AN15" s="129"/>
      <c r="AO15" s="131"/>
      <c r="AP15" s="129"/>
      <c r="AQ15" s="131"/>
      <c r="AR15" s="129"/>
      <c r="AS15" s="131"/>
      <c r="AT15" s="129"/>
      <c r="AU15" s="131"/>
      <c r="AV15" s="129"/>
      <c r="AW15" s="131"/>
      <c r="AX15" s="129"/>
      <c r="AY15" s="131"/>
    </row>
    <row r="16" spans="1:51" x14ac:dyDescent="0.15">
      <c r="A16" s="264"/>
      <c r="B16" s="183">
        <v>1500</v>
      </c>
      <c r="C16" s="184"/>
      <c r="D16" s="185">
        <v>1310</v>
      </c>
      <c r="E16" s="184">
        <v>479.33191628787876</v>
      </c>
      <c r="F16" s="185">
        <v>2614</v>
      </c>
      <c r="G16" s="184">
        <v>886.92563560606027</v>
      </c>
      <c r="H16" s="185">
        <v>3921</v>
      </c>
      <c r="I16" s="184">
        <v>1290.8231428030299</v>
      </c>
      <c r="J16" s="143">
        <f>$D16*J8</f>
        <v>5240</v>
      </c>
      <c r="K16" s="159">
        <v>1694.7206499999998</v>
      </c>
      <c r="L16" s="143">
        <f>$D16*L8</f>
        <v>6550</v>
      </c>
      <c r="M16" s="159">
        <v>2098.6181571969692</v>
      </c>
      <c r="N16" s="143">
        <f>$D16*N8</f>
        <v>7860</v>
      </c>
      <c r="O16" s="159">
        <v>2502.5156643939386</v>
      </c>
      <c r="P16" s="143">
        <f>$D16*P8</f>
        <v>9170</v>
      </c>
      <c r="Q16" s="159">
        <v>2906.4131715909084</v>
      </c>
      <c r="R16" s="143">
        <f>$D16*R8</f>
        <v>10480</v>
      </c>
      <c r="S16" s="159">
        <v>3310.3106787878774</v>
      </c>
      <c r="T16" s="143">
        <f>$D16*T8</f>
        <v>11790</v>
      </c>
      <c r="U16" s="159">
        <v>3714.9474284090893</v>
      </c>
      <c r="V16" s="143">
        <f>$D16*V8</f>
        <v>13100</v>
      </c>
      <c r="W16" s="159">
        <v>4019.0472083333316</v>
      </c>
      <c r="X16" s="143">
        <f>$D16*X8</f>
        <v>14410</v>
      </c>
      <c r="Y16" s="159">
        <v>4404.4636549242423</v>
      </c>
      <c r="Z16" s="143">
        <f>$D16*Z8</f>
        <v>15720</v>
      </c>
      <c r="AA16" s="158">
        <v>4789.8801015151494</v>
      </c>
      <c r="AB16" s="129"/>
      <c r="AC16" s="131"/>
      <c r="AD16" s="129"/>
      <c r="AE16" s="131"/>
      <c r="AF16" s="129"/>
      <c r="AG16" s="131"/>
      <c r="AH16" s="129"/>
      <c r="AI16" s="131"/>
      <c r="AJ16" s="129"/>
      <c r="AK16" s="131"/>
      <c r="AL16" s="129"/>
      <c r="AM16" s="131"/>
      <c r="AN16" s="129"/>
      <c r="AO16" s="131"/>
      <c r="AP16" s="129"/>
      <c r="AQ16" s="131"/>
      <c r="AR16" s="129"/>
      <c r="AS16" s="131"/>
      <c r="AT16" s="129"/>
      <c r="AU16" s="131"/>
      <c r="AV16" s="129"/>
      <c r="AW16" s="131"/>
      <c r="AX16" s="129"/>
      <c r="AY16" s="131"/>
    </row>
    <row r="17" spans="1:51" ht="14" thickBot="1" x14ac:dyDescent="0.2">
      <c r="A17" s="265"/>
      <c r="B17" s="186">
        <v>1800</v>
      </c>
      <c r="C17" s="187"/>
      <c r="D17" s="188">
        <v>1522</v>
      </c>
      <c r="E17" s="187">
        <v>544.64646621212125</v>
      </c>
      <c r="F17" s="188">
        <v>3046</v>
      </c>
      <c r="G17" s="187">
        <v>1016.8154930303027</v>
      </c>
      <c r="H17" s="188">
        <f>$D17*H8</f>
        <v>4566</v>
      </c>
      <c r="I17" s="188">
        <v>1485.2883077272727</v>
      </c>
      <c r="J17" s="157">
        <f>$D17*J8</f>
        <v>6088</v>
      </c>
      <c r="K17" s="157">
        <v>1953.7611224242426</v>
      </c>
      <c r="L17" s="157">
        <f>$D17*L8</f>
        <v>7610</v>
      </c>
      <c r="M17" s="157">
        <v>2422.2339371212124</v>
      </c>
      <c r="N17" s="157">
        <f>$D17*N8</f>
        <v>9132</v>
      </c>
      <c r="O17" s="157">
        <v>2890.7067518181825</v>
      </c>
      <c r="P17" s="157">
        <f>$D17*P8</f>
        <v>10654</v>
      </c>
      <c r="Q17" s="157">
        <v>3359.1795665151512</v>
      </c>
      <c r="R17" s="157">
        <f>$D17*R8</f>
        <v>12176</v>
      </c>
      <c r="S17" s="157">
        <v>3827.6523812121195</v>
      </c>
      <c r="T17" s="157">
        <f>$D17*T8</f>
        <v>13698</v>
      </c>
      <c r="U17" s="157">
        <v>4296.8644383333331</v>
      </c>
      <c r="V17" s="157">
        <f>$D17*V8</f>
        <v>15220</v>
      </c>
      <c r="W17" s="157">
        <v>4665.5395257575747</v>
      </c>
      <c r="X17" s="157">
        <f>$D17*X8</f>
        <v>16742</v>
      </c>
      <c r="Y17" s="157">
        <v>5115.5312798484838</v>
      </c>
      <c r="Z17" s="157">
        <f>$D17*Z8</f>
        <v>18264</v>
      </c>
      <c r="AA17" s="156">
        <v>5565.5230339393929</v>
      </c>
      <c r="AB17" s="129"/>
      <c r="AC17" s="131"/>
      <c r="AD17" s="129"/>
      <c r="AE17" s="131"/>
      <c r="AF17" s="129"/>
      <c r="AG17" s="131"/>
      <c r="AH17" s="129"/>
      <c r="AI17" s="131"/>
      <c r="AJ17" s="129"/>
      <c r="AK17" s="131"/>
      <c r="AL17" s="129"/>
      <c r="AM17" s="131"/>
      <c r="AN17" s="129"/>
      <c r="AO17" s="131"/>
      <c r="AP17" s="129"/>
      <c r="AQ17" s="131"/>
      <c r="AR17" s="129"/>
      <c r="AS17" s="131"/>
      <c r="AT17" s="129"/>
      <c r="AU17" s="131"/>
      <c r="AV17" s="129"/>
      <c r="AW17" s="131"/>
      <c r="AX17" s="129"/>
      <c r="AY17" s="131"/>
    </row>
    <row r="18" spans="1:51" ht="14" thickBot="1" x14ac:dyDescent="0.2">
      <c r="A18" s="171"/>
      <c r="B18" s="170"/>
      <c r="C18" s="168"/>
      <c r="D18" s="169"/>
      <c r="E18" s="168"/>
      <c r="F18" s="169"/>
      <c r="G18" s="168"/>
      <c r="H18" s="169"/>
      <c r="I18" s="168"/>
      <c r="J18" s="168"/>
      <c r="K18" s="168"/>
      <c r="L18" s="169"/>
      <c r="M18" s="168"/>
      <c r="N18" s="169"/>
      <c r="O18" s="168"/>
      <c r="P18" s="169"/>
      <c r="Q18" s="168"/>
      <c r="R18" s="168"/>
      <c r="S18" s="168"/>
      <c r="T18" s="169"/>
      <c r="U18" s="168"/>
      <c r="V18" s="168"/>
      <c r="W18" s="168"/>
      <c r="X18" s="168"/>
      <c r="Y18" s="168"/>
      <c r="Z18" s="168"/>
      <c r="AA18" s="167"/>
      <c r="AB18" s="132"/>
      <c r="AC18" s="131"/>
      <c r="AD18" s="131"/>
      <c r="AE18" s="131"/>
      <c r="AF18" s="131"/>
      <c r="AG18" s="131"/>
    </row>
    <row r="19" spans="1:51" ht="25" customHeight="1" x14ac:dyDescent="0.15">
      <c r="A19" s="256" t="s">
        <v>289</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8"/>
      <c r="AB19" s="132"/>
      <c r="AC19" s="131"/>
      <c r="AD19" s="131"/>
      <c r="AE19" s="131"/>
      <c r="AF19" s="131"/>
      <c r="AG19" s="131"/>
    </row>
    <row r="20" spans="1:51" x14ac:dyDescent="0.15">
      <c r="A20" s="277" t="s">
        <v>16</v>
      </c>
      <c r="B20" s="278"/>
      <c r="C20" s="279"/>
      <c r="D20" s="251">
        <v>1</v>
      </c>
      <c r="E20" s="252"/>
      <c r="F20" s="251">
        <v>2</v>
      </c>
      <c r="G20" s="252"/>
      <c r="H20" s="251">
        <v>3</v>
      </c>
      <c r="I20" s="252"/>
      <c r="J20" s="251">
        <v>4</v>
      </c>
      <c r="K20" s="252"/>
      <c r="L20" s="251">
        <v>5</v>
      </c>
      <c r="M20" s="252"/>
      <c r="N20" s="251">
        <v>6</v>
      </c>
      <c r="O20" s="252"/>
      <c r="P20" s="251">
        <v>7</v>
      </c>
      <c r="Q20" s="252"/>
      <c r="R20" s="251">
        <v>8</v>
      </c>
      <c r="S20" s="252"/>
      <c r="T20" s="251">
        <v>9</v>
      </c>
      <c r="U20" s="252"/>
      <c r="V20" s="251">
        <v>10</v>
      </c>
      <c r="W20" s="252"/>
      <c r="X20" s="251">
        <v>11</v>
      </c>
      <c r="Y20" s="252"/>
      <c r="Z20" s="251">
        <v>12</v>
      </c>
      <c r="AA20" s="253"/>
      <c r="AB20" s="132"/>
      <c r="AC20" s="131"/>
      <c r="AD20" s="131"/>
      <c r="AE20" s="131"/>
      <c r="AF20" s="131"/>
      <c r="AG20" s="131"/>
    </row>
    <row r="21" spans="1:51" ht="49" customHeight="1" x14ac:dyDescent="0.15">
      <c r="A21" s="280" t="s">
        <v>277</v>
      </c>
      <c r="B21" s="281"/>
      <c r="C21" s="282"/>
      <c r="D21" s="254">
        <v>233</v>
      </c>
      <c r="E21" s="255"/>
      <c r="F21" s="254">
        <v>476</v>
      </c>
      <c r="G21" s="255"/>
      <c r="H21" s="254">
        <v>720</v>
      </c>
      <c r="I21" s="255"/>
      <c r="J21" s="254">
        <v>963</v>
      </c>
      <c r="K21" s="255"/>
      <c r="L21" s="254">
        <v>1207</v>
      </c>
      <c r="M21" s="255"/>
      <c r="N21" s="254">
        <v>1451</v>
      </c>
      <c r="O21" s="255"/>
      <c r="P21" s="254">
        <v>1694</v>
      </c>
      <c r="Q21" s="255"/>
      <c r="R21" s="254">
        <v>1938</v>
      </c>
      <c r="S21" s="255"/>
      <c r="T21" s="254">
        <v>2181</v>
      </c>
      <c r="U21" s="255"/>
      <c r="V21" s="254">
        <v>2425</v>
      </c>
      <c r="W21" s="255"/>
      <c r="X21" s="254">
        <v>2669</v>
      </c>
      <c r="Y21" s="255"/>
      <c r="Z21" s="254">
        <v>2912</v>
      </c>
      <c r="AA21" s="317"/>
      <c r="AB21" s="132"/>
      <c r="AC21" s="131"/>
      <c r="AD21" s="131"/>
      <c r="AE21" s="131"/>
      <c r="AF21" s="131"/>
      <c r="AG21" s="131"/>
    </row>
    <row r="22" spans="1:51" x14ac:dyDescent="0.15">
      <c r="A22" s="274" t="s">
        <v>276</v>
      </c>
      <c r="B22" s="275"/>
      <c r="C22" s="276"/>
      <c r="D22" s="249">
        <v>320</v>
      </c>
      <c r="E22" s="250"/>
      <c r="F22" s="249">
        <v>563</v>
      </c>
      <c r="G22" s="250"/>
      <c r="H22" s="249">
        <v>807</v>
      </c>
      <c r="I22" s="250"/>
      <c r="J22" s="249">
        <v>1050</v>
      </c>
      <c r="K22" s="250"/>
      <c r="L22" s="249">
        <v>1294</v>
      </c>
      <c r="M22" s="250"/>
      <c r="N22" s="249">
        <v>1538</v>
      </c>
      <c r="O22" s="250"/>
      <c r="P22" s="249">
        <v>1781</v>
      </c>
      <c r="Q22" s="250"/>
      <c r="R22" s="249">
        <v>2025</v>
      </c>
      <c r="S22" s="250"/>
      <c r="T22" s="249">
        <v>2268</v>
      </c>
      <c r="U22" s="250"/>
      <c r="V22" s="249">
        <v>2512</v>
      </c>
      <c r="W22" s="250"/>
      <c r="X22" s="249">
        <v>2756</v>
      </c>
      <c r="Y22" s="250"/>
      <c r="Z22" s="249">
        <v>2999</v>
      </c>
      <c r="AA22" s="318"/>
      <c r="AB22" s="132"/>
      <c r="AC22" s="131"/>
      <c r="AD22" s="131"/>
      <c r="AE22" s="131"/>
      <c r="AF22" s="131"/>
      <c r="AG22" s="131"/>
    </row>
    <row r="23" spans="1:51" ht="15" customHeight="1" x14ac:dyDescent="0.15">
      <c r="A23" s="166"/>
      <c r="B23" s="165"/>
      <c r="C23" s="151" t="s">
        <v>234</v>
      </c>
      <c r="D23" s="178" t="s">
        <v>18</v>
      </c>
      <c r="E23" s="179" t="s">
        <v>17</v>
      </c>
      <c r="F23" s="179" t="s">
        <v>18</v>
      </c>
      <c r="G23" s="179" t="s">
        <v>17</v>
      </c>
      <c r="H23" s="179" t="s">
        <v>18</v>
      </c>
      <c r="I23" s="179" t="s">
        <v>17</v>
      </c>
      <c r="J23" s="179" t="s">
        <v>18</v>
      </c>
      <c r="K23" s="179" t="s">
        <v>17</v>
      </c>
      <c r="L23" s="179" t="s">
        <v>18</v>
      </c>
      <c r="M23" s="179" t="s">
        <v>17</v>
      </c>
      <c r="N23" s="179" t="s">
        <v>18</v>
      </c>
      <c r="O23" s="179" t="s">
        <v>17</v>
      </c>
      <c r="P23" s="179" t="s">
        <v>18</v>
      </c>
      <c r="Q23" s="179" t="s">
        <v>17</v>
      </c>
      <c r="R23" s="179" t="s">
        <v>18</v>
      </c>
      <c r="S23" s="179" t="s">
        <v>17</v>
      </c>
      <c r="T23" s="179" t="s">
        <v>18</v>
      </c>
      <c r="U23" s="179" t="s">
        <v>17</v>
      </c>
      <c r="V23" s="179" t="s">
        <v>18</v>
      </c>
      <c r="W23" s="179" t="s">
        <v>17</v>
      </c>
      <c r="X23" s="179" t="s">
        <v>18</v>
      </c>
      <c r="Y23" s="179" t="s">
        <v>17</v>
      </c>
      <c r="Z23" s="179" t="s">
        <v>18</v>
      </c>
      <c r="AA23" s="180" t="s">
        <v>17</v>
      </c>
      <c r="AB23" s="132"/>
      <c r="AC23" s="131"/>
      <c r="AD23" s="131"/>
      <c r="AE23" s="131"/>
      <c r="AF23" s="131"/>
      <c r="AG23" s="131"/>
    </row>
    <row r="24" spans="1:51" ht="13" customHeight="1" x14ac:dyDescent="0.15">
      <c r="A24" s="264" t="s">
        <v>275</v>
      </c>
      <c r="B24" s="189">
        <v>200</v>
      </c>
      <c r="C24" s="190"/>
      <c r="D24" s="184">
        <v>220</v>
      </c>
      <c r="E24" s="184">
        <v>198.7663413636364</v>
      </c>
      <c r="F24" s="184">
        <f>D24*F20</f>
        <v>440</v>
      </c>
      <c r="G24" s="185">
        <v>328.75145545454552</v>
      </c>
      <c r="H24" s="184">
        <f>D24*H20</f>
        <v>660</v>
      </c>
      <c r="I24" s="185">
        <v>455.04035742424242</v>
      </c>
      <c r="J24" s="163">
        <v>880</v>
      </c>
      <c r="K24" s="162">
        <v>581.32925939393954</v>
      </c>
      <c r="L24" s="163">
        <v>1100</v>
      </c>
      <c r="M24" s="162">
        <v>707.61816136363632</v>
      </c>
      <c r="N24" s="163">
        <v>1320</v>
      </c>
      <c r="O24" s="162">
        <v>833.90706333333321</v>
      </c>
      <c r="P24" s="163">
        <v>1540</v>
      </c>
      <c r="Q24" s="162">
        <v>960.19596530303033</v>
      </c>
      <c r="R24" s="163">
        <v>1760</v>
      </c>
      <c r="S24" s="162">
        <v>1086.4848672727271</v>
      </c>
      <c r="T24" s="163">
        <v>1980</v>
      </c>
      <c r="U24" s="162">
        <v>1213.5130116666669</v>
      </c>
      <c r="V24" s="163">
        <v>2200</v>
      </c>
      <c r="W24" s="162">
        <v>1240.0041863636363</v>
      </c>
      <c r="X24" s="163">
        <v>2420</v>
      </c>
      <c r="Y24" s="162">
        <v>1347.8120277272728</v>
      </c>
      <c r="Z24" s="163">
        <v>2640</v>
      </c>
      <c r="AA24" s="164">
        <v>1455.6198690909089</v>
      </c>
      <c r="AB24" s="132"/>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row>
    <row r="25" spans="1:51" x14ac:dyDescent="0.15">
      <c r="A25" s="264"/>
      <c r="B25" s="191">
        <v>400</v>
      </c>
      <c r="C25" s="192"/>
      <c r="D25" s="185">
        <f>1228/3</f>
        <v>409.33333333333331</v>
      </c>
      <c r="E25" s="184">
        <v>244.77351606060603</v>
      </c>
      <c r="F25" s="184">
        <f>D25*F20</f>
        <v>818.66666666666663</v>
      </c>
      <c r="G25" s="185">
        <v>420.02656242424246</v>
      </c>
      <c r="H25" s="185">
        <v>1228</v>
      </c>
      <c r="I25" s="192">
        <v>591.58339666666643</v>
      </c>
      <c r="J25" s="161">
        <v>1638</v>
      </c>
      <c r="K25" s="160">
        <v>763.14023090909086</v>
      </c>
      <c r="L25" s="161">
        <v>2047</v>
      </c>
      <c r="M25" s="160">
        <v>934.69706515151495</v>
      </c>
      <c r="N25" s="161">
        <v>2457</v>
      </c>
      <c r="O25" s="160">
        <v>1106.2538993939393</v>
      </c>
      <c r="P25" s="161">
        <v>2866</v>
      </c>
      <c r="Q25" s="160">
        <v>1277.8107336363635</v>
      </c>
      <c r="R25" s="161">
        <v>3276</v>
      </c>
      <c r="S25" s="160">
        <v>1449.3675678787877</v>
      </c>
      <c r="T25" s="161">
        <v>3685</v>
      </c>
      <c r="U25" s="160">
        <v>1621.6636445454542</v>
      </c>
      <c r="V25" s="159">
        <f>$D25*V20</f>
        <v>4093.333333333333</v>
      </c>
      <c r="W25" s="159">
        <v>1693.4227515151513</v>
      </c>
      <c r="X25" s="159">
        <f>$D25*X20</f>
        <v>4502.6666666666661</v>
      </c>
      <c r="Y25" s="159">
        <v>1846.4985251515147</v>
      </c>
      <c r="Z25" s="159">
        <f>$D25*Z20</f>
        <v>4912</v>
      </c>
      <c r="AA25" s="158">
        <v>1999.5742987878784</v>
      </c>
      <c r="AB25" s="132"/>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row>
    <row r="26" spans="1:51" x14ac:dyDescent="0.15">
      <c r="A26" s="264"/>
      <c r="B26" s="191">
        <v>600</v>
      </c>
      <c r="C26" s="192"/>
      <c r="D26" s="193">
        <v>579</v>
      </c>
      <c r="E26" s="192">
        <v>290.78069075757571</v>
      </c>
      <c r="F26" s="193">
        <v>1157</v>
      </c>
      <c r="G26" s="192">
        <v>511.30166939393939</v>
      </c>
      <c r="H26" s="193">
        <v>1736</v>
      </c>
      <c r="I26" s="192">
        <v>728.1264359090909</v>
      </c>
      <c r="J26" s="161">
        <v>2315</v>
      </c>
      <c r="K26" s="160">
        <v>944.95120242424196</v>
      </c>
      <c r="L26" s="161">
        <v>2893</v>
      </c>
      <c r="M26" s="160">
        <v>1161.7759689393938</v>
      </c>
      <c r="N26" s="161">
        <v>3472</v>
      </c>
      <c r="O26" s="160">
        <v>1378.600735454545</v>
      </c>
      <c r="P26" s="161">
        <v>4051</v>
      </c>
      <c r="Q26" s="160">
        <v>1595.4255019696968</v>
      </c>
      <c r="R26" s="159">
        <f>$D26*R20</f>
        <v>4632</v>
      </c>
      <c r="S26" s="159">
        <v>1812.250268484848</v>
      </c>
      <c r="T26" s="159">
        <f>$D26*T20</f>
        <v>5211</v>
      </c>
      <c r="U26" s="159">
        <v>2029.8142774242419</v>
      </c>
      <c r="V26" s="159">
        <f>$D26*V20</f>
        <v>5790</v>
      </c>
      <c r="W26" s="159">
        <v>2146.8413166666664</v>
      </c>
      <c r="X26" s="159">
        <f>$D26*X20</f>
        <v>6369</v>
      </c>
      <c r="Y26" s="159">
        <v>2345.1850225757571</v>
      </c>
      <c r="Z26" s="159">
        <f>$D26*Z20</f>
        <v>6948</v>
      </c>
      <c r="AA26" s="158">
        <v>2543.5287284848482</v>
      </c>
      <c r="AB26" s="132"/>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row>
    <row r="27" spans="1:51" x14ac:dyDescent="0.15">
      <c r="A27" s="264"/>
      <c r="B27" s="189">
        <v>1000</v>
      </c>
      <c r="C27" s="190"/>
      <c r="D27" s="194">
        <v>914</v>
      </c>
      <c r="E27" s="190">
        <v>382.0557977272727</v>
      </c>
      <c r="F27" s="194">
        <v>1827</v>
      </c>
      <c r="G27" s="190">
        <v>693.11264090909094</v>
      </c>
      <c r="H27" s="194">
        <v>2741</v>
      </c>
      <c r="I27" s="190">
        <v>1000.4732719696968</v>
      </c>
      <c r="J27" s="163">
        <v>3655</v>
      </c>
      <c r="K27" s="162">
        <v>1307.8339030303027</v>
      </c>
      <c r="L27" s="143">
        <f>$D27*L20</f>
        <v>4570</v>
      </c>
      <c r="M27" s="159">
        <v>1615.1945340909092</v>
      </c>
      <c r="N27" s="143">
        <f>$D27*N20</f>
        <v>5484</v>
      </c>
      <c r="O27" s="159">
        <v>1922.5551651515152</v>
      </c>
      <c r="P27" s="143">
        <f>$D27*P20</f>
        <v>6398</v>
      </c>
      <c r="Q27" s="159">
        <v>2229.9157962121217</v>
      </c>
      <c r="R27" s="143">
        <f>$D27*R20</f>
        <v>7312</v>
      </c>
      <c r="S27" s="159">
        <v>2537.2764272727272</v>
      </c>
      <c r="T27" s="143">
        <f>$D27*T20</f>
        <v>8226</v>
      </c>
      <c r="U27" s="159">
        <v>2845.3763007575758</v>
      </c>
      <c r="V27" s="143">
        <f>$D27*V20</f>
        <v>9140</v>
      </c>
      <c r="W27" s="159">
        <v>3052.9392045454547</v>
      </c>
      <c r="X27" s="143">
        <f>$D27*X20</f>
        <v>10054</v>
      </c>
      <c r="Y27" s="159">
        <v>3341.8187750000002</v>
      </c>
      <c r="Z27" s="143">
        <f>$D27*Z20</f>
        <v>10968</v>
      </c>
      <c r="AA27" s="158">
        <v>3630.6983454545452</v>
      </c>
      <c r="AB27" s="132"/>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row>
    <row r="28" spans="1:51" x14ac:dyDescent="0.15">
      <c r="A28" s="264"/>
      <c r="B28" s="189">
        <v>1500</v>
      </c>
      <c r="C28" s="190"/>
      <c r="D28" s="194">
        <v>1310</v>
      </c>
      <c r="E28" s="190">
        <v>495.96487083333335</v>
      </c>
      <c r="F28" s="194">
        <v>2614</v>
      </c>
      <c r="G28" s="190">
        <v>920.19154469696946</v>
      </c>
      <c r="H28" s="194">
        <v>3921</v>
      </c>
      <c r="I28" s="190">
        <v>1340.7220064393937</v>
      </c>
      <c r="J28" s="143">
        <f>$D28*J20</f>
        <v>5240</v>
      </c>
      <c r="K28" s="159">
        <v>1761.2524681818179</v>
      </c>
      <c r="L28" s="143">
        <f>$D28*L20</f>
        <v>6550</v>
      </c>
      <c r="M28" s="159">
        <v>2181.7829299242421</v>
      </c>
      <c r="N28" s="143">
        <f>$D28*N20</f>
        <v>7860</v>
      </c>
      <c r="O28" s="159">
        <v>2602.3133916666657</v>
      </c>
      <c r="P28" s="143">
        <f>$D28*P20</f>
        <v>9170</v>
      </c>
      <c r="Q28" s="159">
        <v>3022.8438534090906</v>
      </c>
      <c r="R28" s="143">
        <f>$D28*R20</f>
        <v>10480</v>
      </c>
      <c r="S28" s="159">
        <v>3443.3743151515137</v>
      </c>
      <c r="T28" s="143">
        <f>$D28*T20</f>
        <v>11790</v>
      </c>
      <c r="U28" s="159">
        <v>3864.6440193181802</v>
      </c>
      <c r="V28" s="143">
        <f>$D28*V20</f>
        <v>13100</v>
      </c>
      <c r="W28" s="159">
        <v>4185.3767537878766</v>
      </c>
      <c r="X28" s="143">
        <f>$D28*X20</f>
        <v>14410</v>
      </c>
      <c r="Y28" s="159">
        <v>4587.4261549242419</v>
      </c>
      <c r="Z28" s="143">
        <f>$D28*Z20</f>
        <v>15720</v>
      </c>
      <c r="AA28" s="158">
        <v>4989.4755560606054</v>
      </c>
      <c r="AB28" s="132"/>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row>
    <row r="29" spans="1:51" ht="14" thickBot="1" x14ac:dyDescent="0.2">
      <c r="A29" s="265"/>
      <c r="B29" s="195">
        <v>1800</v>
      </c>
      <c r="C29" s="196"/>
      <c r="D29" s="197">
        <v>1522</v>
      </c>
      <c r="E29" s="196">
        <v>564.60601166666663</v>
      </c>
      <c r="F29" s="197">
        <v>3046</v>
      </c>
      <c r="G29" s="196">
        <v>1056.7345839393938</v>
      </c>
      <c r="H29" s="188">
        <f>$D29*H20</f>
        <v>4566</v>
      </c>
      <c r="I29" s="188">
        <v>1545.1669440909091</v>
      </c>
      <c r="J29" s="157">
        <f>$D29*J20</f>
        <v>6088</v>
      </c>
      <c r="K29" s="157">
        <v>2033.5993042424241</v>
      </c>
      <c r="L29" s="157">
        <f>$D29*L20</f>
        <v>7610</v>
      </c>
      <c r="M29" s="157">
        <v>2522.0316643939391</v>
      </c>
      <c r="N29" s="157">
        <f>$D29*N20</f>
        <v>9132</v>
      </c>
      <c r="O29" s="157">
        <v>3010.4640245454548</v>
      </c>
      <c r="P29" s="157">
        <f>$D29*P20</f>
        <v>10654</v>
      </c>
      <c r="Q29" s="157">
        <v>3498.8963846969696</v>
      </c>
      <c r="R29" s="157">
        <f>$D29*R20</f>
        <v>12176</v>
      </c>
      <c r="S29" s="157">
        <v>3987.3287448484848</v>
      </c>
      <c r="T29" s="157">
        <f>$D29*T20</f>
        <v>13698</v>
      </c>
      <c r="U29" s="157">
        <v>4476.5003474242412</v>
      </c>
      <c r="V29" s="157">
        <f>$D29*V20</f>
        <v>15220</v>
      </c>
      <c r="W29" s="157">
        <v>4865.1349803030289</v>
      </c>
      <c r="X29" s="157">
        <f>$D29*X20</f>
        <v>16742</v>
      </c>
      <c r="Y29" s="157">
        <v>5335.0862798484841</v>
      </c>
      <c r="Z29" s="157">
        <f>$D29*Z20</f>
        <v>18264</v>
      </c>
      <c r="AA29" s="156">
        <v>5805.0375793939374</v>
      </c>
      <c r="AB29" s="132"/>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row>
    <row r="30" spans="1:51" ht="14" thickBot="1" x14ac:dyDescent="0.2">
      <c r="A30" s="155"/>
      <c r="C30" s="129"/>
      <c r="D30" s="154"/>
      <c r="E30" s="129"/>
      <c r="F30" s="154"/>
      <c r="G30" s="129"/>
      <c r="H30" s="154"/>
      <c r="I30" s="129"/>
      <c r="J30" s="129"/>
      <c r="K30" s="129"/>
      <c r="L30" s="154"/>
      <c r="M30" s="129"/>
      <c r="N30" s="154"/>
      <c r="O30" s="129"/>
      <c r="P30" s="154"/>
      <c r="Q30" s="129"/>
      <c r="R30" s="129"/>
      <c r="S30" s="129"/>
      <c r="T30" s="154"/>
      <c r="U30" s="129"/>
      <c r="V30" s="129"/>
      <c r="W30" s="129"/>
      <c r="X30" s="129"/>
      <c r="Y30" s="129"/>
      <c r="Z30" s="129"/>
      <c r="AA30" s="129"/>
      <c r="AB30" s="132"/>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row>
    <row r="31" spans="1:51" ht="25" customHeight="1" x14ac:dyDescent="0.15">
      <c r="A31" s="319" t="s">
        <v>293</v>
      </c>
      <c r="B31" s="320"/>
      <c r="C31" s="320"/>
      <c r="D31" s="320"/>
      <c r="E31" s="320"/>
      <c r="F31" s="320"/>
      <c r="G31" s="320"/>
      <c r="H31" s="320"/>
      <c r="I31" s="320"/>
      <c r="J31" s="320"/>
      <c r="K31" s="320"/>
      <c r="L31" s="320"/>
      <c r="M31" s="320"/>
      <c r="N31" s="320"/>
      <c r="O31" s="320"/>
      <c r="P31" s="320"/>
      <c r="Q31" s="321"/>
      <c r="R31" s="321"/>
      <c r="S31" s="321"/>
      <c r="T31" s="321"/>
      <c r="U31" s="321"/>
      <c r="V31" s="321"/>
      <c r="W31" s="321"/>
      <c r="X31" s="321"/>
      <c r="Y31" s="321"/>
      <c r="Z31" s="321"/>
      <c r="AA31" s="322"/>
      <c r="AB31" s="132"/>
      <c r="AC31" s="131"/>
      <c r="AD31" s="131"/>
      <c r="AE31" s="131"/>
      <c r="AF31" s="131"/>
      <c r="AG31" s="131"/>
    </row>
    <row r="32" spans="1:51" x14ac:dyDescent="0.15">
      <c r="A32" s="291" t="s">
        <v>16</v>
      </c>
      <c r="B32" s="292"/>
      <c r="C32" s="292"/>
      <c r="D32" s="273">
        <v>1</v>
      </c>
      <c r="E32" s="248"/>
      <c r="F32" s="273">
        <v>2</v>
      </c>
      <c r="G32" s="248"/>
      <c r="H32" s="273">
        <v>3</v>
      </c>
      <c r="I32" s="248"/>
      <c r="J32" s="273">
        <v>4</v>
      </c>
      <c r="K32" s="248"/>
      <c r="L32" s="273">
        <v>5</v>
      </c>
      <c r="M32" s="248"/>
      <c r="N32" s="273">
        <v>6</v>
      </c>
      <c r="O32" s="248"/>
      <c r="P32" s="273">
        <v>7</v>
      </c>
      <c r="Q32" s="248"/>
      <c r="R32" s="273">
        <v>8</v>
      </c>
      <c r="S32" s="248"/>
      <c r="T32" s="273">
        <v>9</v>
      </c>
      <c r="U32" s="248"/>
      <c r="V32" s="273">
        <v>10</v>
      </c>
      <c r="W32" s="248"/>
      <c r="X32" s="273">
        <v>11</v>
      </c>
      <c r="Y32" s="248"/>
      <c r="Z32" s="273">
        <v>12</v>
      </c>
      <c r="AA32" s="266"/>
      <c r="AB32" s="132"/>
      <c r="AC32" s="131"/>
      <c r="AD32" s="131"/>
      <c r="AE32" s="131"/>
      <c r="AF32" s="131"/>
      <c r="AG32" s="131"/>
    </row>
    <row r="33" spans="1:51" ht="48" customHeight="1" x14ac:dyDescent="0.15">
      <c r="A33" s="259" t="s">
        <v>277</v>
      </c>
      <c r="B33" s="260"/>
      <c r="C33" s="260"/>
      <c r="D33" s="247">
        <v>233</v>
      </c>
      <c r="E33" s="248"/>
      <c r="F33" s="247">
        <v>476</v>
      </c>
      <c r="G33" s="248"/>
      <c r="H33" s="247">
        <v>720</v>
      </c>
      <c r="I33" s="248"/>
      <c r="J33" s="247">
        <v>963</v>
      </c>
      <c r="K33" s="248"/>
      <c r="L33" s="247">
        <v>1207</v>
      </c>
      <c r="M33" s="248"/>
      <c r="N33" s="247">
        <v>1451</v>
      </c>
      <c r="O33" s="248"/>
      <c r="P33" s="247">
        <v>1694</v>
      </c>
      <c r="Q33" s="248"/>
      <c r="R33" s="247">
        <v>1938</v>
      </c>
      <c r="S33" s="248"/>
      <c r="T33" s="247">
        <v>2181</v>
      </c>
      <c r="U33" s="248"/>
      <c r="V33" s="247">
        <v>2425</v>
      </c>
      <c r="W33" s="248"/>
      <c r="X33" s="247">
        <v>2669</v>
      </c>
      <c r="Y33" s="248"/>
      <c r="Z33" s="247">
        <v>2912</v>
      </c>
      <c r="AA33" s="266"/>
      <c r="AB33" s="132"/>
      <c r="AC33" s="131"/>
      <c r="AD33" s="131"/>
      <c r="AE33" s="131"/>
      <c r="AF33" s="131"/>
      <c r="AG33" s="131"/>
    </row>
    <row r="34" spans="1:51" x14ac:dyDescent="0.15">
      <c r="A34" s="267" t="s">
        <v>276</v>
      </c>
      <c r="B34" s="268"/>
      <c r="C34" s="268"/>
      <c r="D34" s="245">
        <f>D33-3+90</f>
        <v>320</v>
      </c>
      <c r="E34" s="245"/>
      <c r="F34" s="245">
        <f>F33+87</f>
        <v>563</v>
      </c>
      <c r="G34" s="245"/>
      <c r="H34" s="245">
        <f>H33+87</f>
        <v>807</v>
      </c>
      <c r="I34" s="245"/>
      <c r="J34" s="245">
        <f>J33+87</f>
        <v>1050</v>
      </c>
      <c r="K34" s="245"/>
      <c r="L34" s="245">
        <f>L33+87</f>
        <v>1294</v>
      </c>
      <c r="M34" s="245"/>
      <c r="N34" s="245">
        <f>N33+87</f>
        <v>1538</v>
      </c>
      <c r="O34" s="245"/>
      <c r="P34" s="245">
        <f>P33+87</f>
        <v>1781</v>
      </c>
      <c r="Q34" s="245"/>
      <c r="R34" s="245">
        <f>R33+87</f>
        <v>2025</v>
      </c>
      <c r="S34" s="245"/>
      <c r="T34" s="245">
        <f>T33+87</f>
        <v>2268</v>
      </c>
      <c r="U34" s="245"/>
      <c r="V34" s="245">
        <f>V33+87</f>
        <v>2512</v>
      </c>
      <c r="W34" s="245"/>
      <c r="X34" s="245">
        <f>X33+87</f>
        <v>2756</v>
      </c>
      <c r="Y34" s="245"/>
      <c r="Z34" s="245">
        <f>Z33+87</f>
        <v>2999</v>
      </c>
      <c r="AA34" s="246"/>
      <c r="AB34" s="132"/>
      <c r="AC34" s="131"/>
      <c r="AD34" s="131"/>
      <c r="AE34" s="131"/>
      <c r="AF34" s="131"/>
      <c r="AG34" s="131"/>
    </row>
    <row r="35" spans="1:51" ht="14" x14ac:dyDescent="0.15">
      <c r="A35" s="153"/>
      <c r="B35" s="152"/>
      <c r="C35" s="151" t="s">
        <v>234</v>
      </c>
      <c r="D35" s="175" t="s">
        <v>18</v>
      </c>
      <c r="E35" s="176" t="s">
        <v>17</v>
      </c>
      <c r="F35" s="176" t="s">
        <v>18</v>
      </c>
      <c r="G35" s="176" t="s">
        <v>17</v>
      </c>
      <c r="H35" s="176" t="s">
        <v>18</v>
      </c>
      <c r="I35" s="176" t="s">
        <v>17</v>
      </c>
      <c r="J35" s="176" t="s">
        <v>18</v>
      </c>
      <c r="K35" s="176" t="s">
        <v>17</v>
      </c>
      <c r="L35" s="176" t="s">
        <v>18</v>
      </c>
      <c r="M35" s="176" t="s">
        <v>17</v>
      </c>
      <c r="N35" s="176" t="s">
        <v>18</v>
      </c>
      <c r="O35" s="176" t="s">
        <v>17</v>
      </c>
      <c r="P35" s="176" t="s">
        <v>18</v>
      </c>
      <c r="Q35" s="176" t="s">
        <v>17</v>
      </c>
      <c r="R35" s="176" t="s">
        <v>18</v>
      </c>
      <c r="S35" s="176" t="s">
        <v>17</v>
      </c>
      <c r="T35" s="176" t="s">
        <v>18</v>
      </c>
      <c r="U35" s="176" t="s">
        <v>17</v>
      </c>
      <c r="V35" s="176" t="s">
        <v>18</v>
      </c>
      <c r="W35" s="176" t="s">
        <v>17</v>
      </c>
      <c r="X35" s="176" t="s">
        <v>18</v>
      </c>
      <c r="Y35" s="176" t="s">
        <v>17</v>
      </c>
      <c r="Z35" s="176" t="s">
        <v>18</v>
      </c>
      <c r="AA35" s="177" t="s">
        <v>17</v>
      </c>
      <c r="AB35" s="132"/>
      <c r="AC35" s="131"/>
      <c r="AD35" s="131"/>
      <c r="AE35" s="131"/>
      <c r="AF35" s="131"/>
      <c r="AG35" s="131"/>
    </row>
    <row r="36" spans="1:51" ht="13" customHeight="1" x14ac:dyDescent="0.15">
      <c r="A36" s="264" t="s">
        <v>275</v>
      </c>
      <c r="B36" s="206">
        <v>200</v>
      </c>
      <c r="C36" s="207"/>
      <c r="D36" s="207">
        <v>220</v>
      </c>
      <c r="E36" s="207">
        <v>449.6863413636363</v>
      </c>
      <c r="F36" s="208">
        <v>440</v>
      </c>
      <c r="G36" s="207">
        <v>579.67145545454548</v>
      </c>
      <c r="H36" s="207">
        <v>660</v>
      </c>
      <c r="I36" s="207">
        <v>705.96035742424237</v>
      </c>
      <c r="J36" s="208">
        <v>880</v>
      </c>
      <c r="K36" s="207">
        <v>846.61220199125376</v>
      </c>
      <c r="L36" s="208">
        <v>1100</v>
      </c>
      <c r="M36" s="207">
        <v>1005.9880253114673</v>
      </c>
      <c r="N36" s="208">
        <v>1320</v>
      </c>
      <c r="O36" s="207">
        <v>1165.3638486316802</v>
      </c>
      <c r="P36" s="208">
        <v>1540</v>
      </c>
      <c r="Q36" s="207">
        <v>1324.7396719518938</v>
      </c>
      <c r="R36" s="208">
        <v>1760</v>
      </c>
      <c r="S36" s="207">
        <v>1484.257414972303</v>
      </c>
      <c r="T36" s="208">
        <v>1980</v>
      </c>
      <c r="U36" s="207">
        <v>1642.0721215903591</v>
      </c>
      <c r="V36" s="208">
        <v>2200</v>
      </c>
      <c r="W36" s="207">
        <v>1866.2174999999997</v>
      </c>
      <c r="X36" s="208">
        <v>2420</v>
      </c>
      <c r="Y36" s="207">
        <v>2123.4104999999995</v>
      </c>
      <c r="Z36" s="208">
        <v>2640</v>
      </c>
      <c r="AA36" s="209">
        <v>2418.2414999999996</v>
      </c>
      <c r="AB36" s="132"/>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row>
    <row r="37" spans="1:51" x14ac:dyDescent="0.15">
      <c r="A37" s="264"/>
      <c r="B37" s="149">
        <v>400</v>
      </c>
      <c r="C37" s="142"/>
      <c r="D37" s="144">
        <v>409.33333333333331</v>
      </c>
      <c r="E37" s="144">
        <v>495.69351606060599</v>
      </c>
      <c r="F37" s="145">
        <v>818.66666666666663</v>
      </c>
      <c r="G37" s="144">
        <v>670.94656242424242</v>
      </c>
      <c r="H37" s="143">
        <v>1228</v>
      </c>
      <c r="I37" s="142">
        <v>753.65479836281236</v>
      </c>
      <c r="J37" s="143">
        <v>1638</v>
      </c>
      <c r="K37" s="142">
        <v>932.18978120949839</v>
      </c>
      <c r="L37" s="150">
        <v>2047</v>
      </c>
      <c r="M37" s="142">
        <v>1110.7247640561843</v>
      </c>
      <c r="N37" s="150">
        <v>2457</v>
      </c>
      <c r="O37" s="142">
        <v>1289.4016666030664</v>
      </c>
      <c r="P37" s="143">
        <v>2866</v>
      </c>
      <c r="Q37" s="142">
        <v>1467.9366494497526</v>
      </c>
      <c r="R37" s="143">
        <v>3276</v>
      </c>
      <c r="S37" s="142">
        <v>1646.6135519966338</v>
      </c>
      <c r="T37" s="143">
        <v>3685</v>
      </c>
      <c r="U37" s="142">
        <v>1823.7293378413592</v>
      </c>
      <c r="V37" s="143">
        <v>4093.333333333333</v>
      </c>
      <c r="W37" s="142">
        <v>1944.3427515151511</v>
      </c>
      <c r="X37" s="142">
        <v>4502.6666666666661</v>
      </c>
      <c r="Y37" s="142">
        <v>2097.4185251515146</v>
      </c>
      <c r="Z37" s="142">
        <v>4912</v>
      </c>
      <c r="AA37" s="141">
        <v>2250.494298787879</v>
      </c>
      <c r="AB37" s="132"/>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row>
    <row r="38" spans="1:51" x14ac:dyDescent="0.15">
      <c r="A38" s="264"/>
      <c r="B38" s="206">
        <v>600</v>
      </c>
      <c r="C38" s="207"/>
      <c r="D38" s="208">
        <v>579</v>
      </c>
      <c r="E38" s="207">
        <v>433.34203502022888</v>
      </c>
      <c r="F38" s="208">
        <v>1157</v>
      </c>
      <c r="G38" s="207">
        <v>724.13550072202497</v>
      </c>
      <c r="H38" s="210">
        <v>1736</v>
      </c>
      <c r="I38" s="207">
        <v>898.27097286263188</v>
      </c>
      <c r="J38" s="210">
        <v>2315</v>
      </c>
      <c r="K38" s="207">
        <v>1125.4844128765778</v>
      </c>
      <c r="L38" s="208">
        <v>2893</v>
      </c>
      <c r="M38" s="207">
        <v>1352.8397725907203</v>
      </c>
      <c r="N38" s="210">
        <v>3472</v>
      </c>
      <c r="O38" s="207">
        <v>1578.6340156027049</v>
      </c>
      <c r="P38" s="208">
        <v>4051</v>
      </c>
      <c r="Q38" s="207">
        <v>1805.9893753168474</v>
      </c>
      <c r="R38" s="208">
        <v>4632</v>
      </c>
      <c r="S38" s="207">
        <v>2063.1702684848478</v>
      </c>
      <c r="T38" s="208">
        <v>5211</v>
      </c>
      <c r="U38" s="207">
        <v>2280.7342774242416</v>
      </c>
      <c r="V38" s="208">
        <v>5790</v>
      </c>
      <c r="W38" s="207">
        <v>2397.7613166666665</v>
      </c>
      <c r="X38" s="207">
        <v>6369</v>
      </c>
      <c r="Y38" s="207">
        <v>2596.1050225757572</v>
      </c>
      <c r="Z38" s="207">
        <v>6948</v>
      </c>
      <c r="AA38" s="209">
        <v>2794.4487284848483</v>
      </c>
      <c r="AB38" s="132"/>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row>
    <row r="39" spans="1:51" x14ac:dyDescent="0.15">
      <c r="A39" s="264"/>
      <c r="B39" s="149">
        <v>1000</v>
      </c>
      <c r="C39" s="142"/>
      <c r="D39" s="143">
        <v>914</v>
      </c>
      <c r="E39" s="142">
        <v>512.95898683023745</v>
      </c>
      <c r="F39" s="143">
        <v>1827</v>
      </c>
      <c r="G39" s="142">
        <v>884.93052104419917</v>
      </c>
      <c r="H39" s="143">
        <v>2741</v>
      </c>
      <c r="I39" s="142">
        <v>1137.40566769305</v>
      </c>
      <c r="J39" s="143">
        <v>3655</v>
      </c>
      <c r="K39" s="142">
        <v>1442.8168625150436</v>
      </c>
      <c r="L39" s="143">
        <v>4570</v>
      </c>
      <c r="M39" s="142">
        <v>1866.114534090909</v>
      </c>
      <c r="N39" s="143">
        <v>5484</v>
      </c>
      <c r="O39" s="142">
        <v>2173.4751651515153</v>
      </c>
      <c r="P39" s="143">
        <v>6398</v>
      </c>
      <c r="Q39" s="142">
        <v>2480.8357962121208</v>
      </c>
      <c r="R39" s="143">
        <v>7312</v>
      </c>
      <c r="S39" s="142">
        <v>2788.1964272727273</v>
      </c>
      <c r="T39" s="143">
        <v>8226</v>
      </c>
      <c r="U39" s="142">
        <v>3096.2963007575754</v>
      </c>
      <c r="V39" s="143">
        <v>9140</v>
      </c>
      <c r="W39" s="142">
        <v>3303.8592045454548</v>
      </c>
      <c r="X39" s="142">
        <v>10054</v>
      </c>
      <c r="Y39" s="142">
        <v>3592.7387750000003</v>
      </c>
      <c r="Z39" s="142">
        <v>10968</v>
      </c>
      <c r="AA39" s="141">
        <v>3881.6183454545453</v>
      </c>
      <c r="AB39" s="132"/>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row>
    <row r="40" spans="1:51" x14ac:dyDescent="0.15">
      <c r="A40" s="264"/>
      <c r="B40" s="206">
        <v>1500</v>
      </c>
      <c r="C40" s="207"/>
      <c r="D40" s="210">
        <v>1310</v>
      </c>
      <c r="E40" s="207">
        <v>628.19778338946571</v>
      </c>
      <c r="F40" s="210">
        <v>2614</v>
      </c>
      <c r="G40" s="207">
        <v>1119.6657051685381</v>
      </c>
      <c r="H40" s="210">
        <v>3921</v>
      </c>
      <c r="I40" s="207">
        <v>1482.6962982701459</v>
      </c>
      <c r="J40" s="208">
        <v>5240</v>
      </c>
      <c r="K40" s="207">
        <v>2012.172468181818</v>
      </c>
      <c r="L40" s="208">
        <v>6550</v>
      </c>
      <c r="M40" s="207">
        <v>2432.7029299242422</v>
      </c>
      <c r="N40" s="208">
        <v>7860</v>
      </c>
      <c r="O40" s="207">
        <v>2853.2333916666657</v>
      </c>
      <c r="P40" s="208">
        <v>9170</v>
      </c>
      <c r="Q40" s="207">
        <v>3273.7638534090902</v>
      </c>
      <c r="R40" s="208">
        <v>10480</v>
      </c>
      <c r="S40" s="207">
        <v>3694.2943151515137</v>
      </c>
      <c r="T40" s="208">
        <v>11790</v>
      </c>
      <c r="U40" s="207">
        <v>4115.5640193181807</v>
      </c>
      <c r="V40" s="208">
        <v>13100</v>
      </c>
      <c r="W40" s="207">
        <v>4436.2967537878767</v>
      </c>
      <c r="X40" s="207">
        <v>14410</v>
      </c>
      <c r="Y40" s="207">
        <v>4838.346154924242</v>
      </c>
      <c r="Z40" s="207">
        <v>15720</v>
      </c>
      <c r="AA40" s="209">
        <v>5240.3955560606046</v>
      </c>
      <c r="AB40" s="132"/>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row>
    <row r="41" spans="1:51" ht="14" thickBot="1" x14ac:dyDescent="0.2">
      <c r="A41" s="265"/>
      <c r="B41" s="148">
        <v>1800</v>
      </c>
      <c r="C41" s="146"/>
      <c r="D41" s="147">
        <v>1522</v>
      </c>
      <c r="E41" s="146">
        <v>712.21424590555307</v>
      </c>
      <c r="F41" s="147">
        <v>3046</v>
      </c>
      <c r="G41" s="146">
        <v>1296.7814910132633</v>
      </c>
      <c r="H41" s="147">
        <v>4566</v>
      </c>
      <c r="I41" s="211">
        <v>1796</v>
      </c>
      <c r="J41" s="212">
        <v>6088</v>
      </c>
      <c r="K41" s="211">
        <v>2284.5193042424244</v>
      </c>
      <c r="L41" s="213">
        <v>7610</v>
      </c>
      <c r="M41" s="146">
        <v>2772.9516643939392</v>
      </c>
      <c r="N41" s="213">
        <v>9132</v>
      </c>
      <c r="O41" s="146">
        <v>3261.3840245454548</v>
      </c>
      <c r="P41" s="213">
        <v>10654</v>
      </c>
      <c r="Q41" s="146">
        <v>3749.8163846969696</v>
      </c>
      <c r="R41" s="213">
        <v>12176</v>
      </c>
      <c r="S41" s="146">
        <v>4238.2487448484844</v>
      </c>
      <c r="T41" s="213">
        <v>13698</v>
      </c>
      <c r="U41" s="146">
        <v>4727.4203474242413</v>
      </c>
      <c r="V41" s="213">
        <v>15220</v>
      </c>
      <c r="W41" s="146">
        <v>5116.054980303029</v>
      </c>
      <c r="X41" s="146">
        <v>16742</v>
      </c>
      <c r="Y41" s="146">
        <v>5586.0062798484842</v>
      </c>
      <c r="Z41" s="146">
        <v>18264</v>
      </c>
      <c r="AA41" s="214">
        <v>6055.9575793939375</v>
      </c>
      <c r="AB41" s="132"/>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row>
    <row r="42" spans="1:51" ht="14" thickBot="1" x14ac:dyDescent="0.2">
      <c r="A42" s="140"/>
      <c r="B42" s="139"/>
      <c r="C42" s="135"/>
      <c r="D42" s="137"/>
      <c r="E42" s="138"/>
      <c r="F42" s="137"/>
      <c r="G42" s="135"/>
      <c r="H42" s="137"/>
      <c r="I42" s="135"/>
      <c r="J42" s="135"/>
      <c r="K42" s="135"/>
      <c r="L42" s="136"/>
      <c r="M42" s="135"/>
      <c r="N42" s="136"/>
      <c r="O42" s="135"/>
      <c r="P42" s="136"/>
      <c r="Q42" s="135"/>
      <c r="R42" s="136"/>
      <c r="S42" s="135"/>
      <c r="T42" s="136"/>
      <c r="U42" s="135"/>
      <c r="V42" s="136"/>
      <c r="W42" s="135"/>
      <c r="X42" s="135"/>
      <c r="Y42" s="135"/>
      <c r="Z42" s="135"/>
      <c r="AA42" s="135"/>
      <c r="AB42" s="132"/>
      <c r="AC42" s="131"/>
      <c r="AD42" s="131"/>
      <c r="AE42" s="131"/>
      <c r="AF42" s="131"/>
      <c r="AG42" s="131"/>
    </row>
    <row r="43" spans="1:51" ht="25" customHeight="1" x14ac:dyDescent="0.15">
      <c r="A43" s="307" t="s">
        <v>305</v>
      </c>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9"/>
      <c r="AB43" s="132"/>
      <c r="AC43" s="131"/>
      <c r="AD43" s="131"/>
      <c r="AE43" s="131"/>
      <c r="AF43" s="131"/>
      <c r="AG43" s="131"/>
    </row>
    <row r="44" spans="1:51" ht="13" customHeight="1" x14ac:dyDescent="0.15">
      <c r="A44" s="259" t="s">
        <v>274</v>
      </c>
      <c r="B44" s="260"/>
      <c r="C44" s="260"/>
      <c r="D44" s="134">
        <v>465</v>
      </c>
      <c r="E44" s="272" t="s">
        <v>273</v>
      </c>
      <c r="F44" s="303"/>
      <c r="G44" s="303"/>
      <c r="H44" s="303"/>
      <c r="I44" s="303"/>
      <c r="J44" s="215"/>
      <c r="K44" s="215"/>
      <c r="L44" s="215"/>
      <c r="M44" s="215"/>
      <c r="N44" s="215"/>
      <c r="O44" s="215"/>
      <c r="P44" s="215"/>
      <c r="Q44" s="215"/>
      <c r="R44" s="215"/>
      <c r="S44" s="215"/>
      <c r="T44" s="215"/>
      <c r="U44" s="215"/>
      <c r="V44" s="215"/>
      <c r="W44" s="215"/>
      <c r="X44" s="215"/>
      <c r="Y44" s="215"/>
      <c r="Z44" s="215"/>
      <c r="AA44" s="234"/>
      <c r="AB44" s="132"/>
      <c r="AC44" s="131"/>
      <c r="AD44" s="131"/>
      <c r="AE44" s="131"/>
      <c r="AF44" s="131"/>
      <c r="AG44" s="131"/>
    </row>
    <row r="45" spans="1:51" ht="13" customHeight="1" x14ac:dyDescent="0.15">
      <c r="A45" s="259"/>
      <c r="B45" s="269"/>
      <c r="C45" s="269"/>
      <c r="D45" s="216"/>
      <c r="E45" s="176" t="s">
        <v>17</v>
      </c>
      <c r="F45" s="182"/>
      <c r="G45" s="182"/>
      <c r="H45" s="182"/>
      <c r="I45" s="182"/>
      <c r="J45" s="215"/>
      <c r="K45" s="215"/>
      <c r="L45" s="215"/>
      <c r="M45" s="215"/>
      <c r="N45" s="215"/>
      <c r="O45" s="215"/>
      <c r="P45" s="215"/>
      <c r="Q45" s="215"/>
      <c r="R45" s="215"/>
      <c r="S45" s="215"/>
      <c r="T45" s="215"/>
      <c r="U45" s="215"/>
      <c r="V45" s="215"/>
      <c r="W45" s="215"/>
      <c r="X45" s="215"/>
      <c r="Y45" s="215"/>
      <c r="Z45" s="215"/>
      <c r="AA45" s="234"/>
      <c r="AB45" s="132"/>
      <c r="AC45" s="131"/>
      <c r="AD45" s="131"/>
      <c r="AE45" s="131"/>
      <c r="AF45" s="131"/>
      <c r="AG45" s="131"/>
    </row>
    <row r="46" spans="1:51" ht="13" customHeight="1" x14ac:dyDescent="0.15">
      <c r="A46" s="181" t="s">
        <v>248</v>
      </c>
      <c r="B46" s="206">
        <v>50</v>
      </c>
      <c r="C46" s="207"/>
      <c r="D46" s="210"/>
      <c r="E46" s="217">
        <v>148.46099999999998</v>
      </c>
      <c r="F46" s="150"/>
      <c r="G46" s="142"/>
      <c r="H46" s="150"/>
      <c r="I46" s="142"/>
      <c r="J46" s="142"/>
      <c r="K46" s="142"/>
      <c r="L46" s="143"/>
      <c r="M46" s="142"/>
      <c r="N46" s="143"/>
      <c r="O46" s="142"/>
      <c r="P46" s="143"/>
      <c r="Q46" s="142"/>
      <c r="R46" s="143"/>
      <c r="S46" s="142"/>
      <c r="T46" s="143"/>
      <c r="U46" s="142"/>
      <c r="V46" s="143"/>
      <c r="W46" s="142"/>
      <c r="X46" s="142"/>
      <c r="Y46" s="142"/>
      <c r="Z46" s="142"/>
      <c r="AA46" s="141"/>
      <c r="AB46" s="132"/>
      <c r="AC46" s="131"/>
      <c r="AD46" s="131"/>
      <c r="AE46" s="131"/>
      <c r="AF46" s="131"/>
      <c r="AG46" s="131"/>
    </row>
    <row r="47" spans="1:51" ht="25" customHeight="1" x14ac:dyDescent="0.15">
      <c r="A47" s="304" t="s">
        <v>306</v>
      </c>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6"/>
      <c r="AB47" s="132"/>
      <c r="AC47" s="131"/>
      <c r="AD47" s="131"/>
      <c r="AE47" s="131"/>
      <c r="AF47" s="131"/>
      <c r="AG47" s="131"/>
      <c r="AH47" s="133"/>
      <c r="AI47" s="133"/>
      <c r="AJ47" s="133"/>
      <c r="AK47" s="133"/>
      <c r="AL47" s="133"/>
      <c r="AM47" s="133"/>
      <c r="AN47" s="133"/>
      <c r="AO47" s="133"/>
      <c r="AP47" s="133"/>
      <c r="AQ47" s="133"/>
      <c r="AR47" s="133"/>
      <c r="AS47" s="133"/>
      <c r="AT47" s="133"/>
      <c r="AU47" s="133"/>
      <c r="AV47" s="133"/>
      <c r="AW47" s="133"/>
      <c r="AX47" s="133"/>
    </row>
    <row r="48" spans="1:51" ht="13" customHeight="1" x14ac:dyDescent="0.15">
      <c r="A48" s="270" t="s">
        <v>274</v>
      </c>
      <c r="B48" s="271"/>
      <c r="C48" s="271"/>
      <c r="D48" s="134">
        <v>465</v>
      </c>
      <c r="E48" s="272" t="s">
        <v>273</v>
      </c>
      <c r="F48" s="272"/>
      <c r="G48" s="272"/>
      <c r="H48" s="272"/>
      <c r="I48" s="272"/>
      <c r="J48" s="218"/>
      <c r="K48" s="218"/>
      <c r="L48" s="218"/>
      <c r="M48" s="218"/>
      <c r="N48" s="218"/>
      <c r="O48" s="218"/>
      <c r="P48" s="218"/>
      <c r="Q48" s="218"/>
      <c r="R48" s="218"/>
      <c r="S48" s="218"/>
      <c r="T48" s="218"/>
      <c r="U48" s="218"/>
      <c r="V48" s="218"/>
      <c r="W48" s="218"/>
      <c r="X48" s="218"/>
      <c r="Y48" s="218"/>
      <c r="Z48" s="218"/>
      <c r="AA48" s="235"/>
      <c r="AB48" s="132"/>
      <c r="AC48" s="131"/>
      <c r="AD48" s="131"/>
      <c r="AE48" s="131"/>
      <c r="AF48" s="131"/>
      <c r="AG48" s="131"/>
      <c r="AH48" s="133"/>
      <c r="AI48" s="133"/>
      <c r="AJ48" s="133"/>
      <c r="AK48" s="133"/>
      <c r="AL48" s="133"/>
      <c r="AM48" s="133"/>
      <c r="AN48" s="133"/>
      <c r="AO48" s="133"/>
      <c r="AP48" s="133"/>
      <c r="AQ48" s="133"/>
      <c r="AR48" s="133"/>
      <c r="AS48" s="133"/>
      <c r="AT48" s="133"/>
      <c r="AU48" s="133"/>
      <c r="AV48" s="133"/>
      <c r="AW48" s="133"/>
      <c r="AX48" s="133"/>
    </row>
    <row r="49" spans="1:50" ht="13" customHeight="1" x14ac:dyDescent="0.15">
      <c r="A49" s="270"/>
      <c r="B49" s="271"/>
      <c r="C49" s="271"/>
      <c r="D49" s="216"/>
      <c r="E49" s="219" t="s">
        <v>17</v>
      </c>
      <c r="F49" s="182"/>
      <c r="G49" s="182"/>
      <c r="H49" s="182"/>
      <c r="I49" s="182"/>
      <c r="J49" s="218"/>
      <c r="K49" s="218"/>
      <c r="L49" s="218"/>
      <c r="M49" s="218"/>
      <c r="N49" s="218"/>
      <c r="O49" s="218"/>
      <c r="P49" s="218"/>
      <c r="Q49" s="218"/>
      <c r="R49" s="218"/>
      <c r="S49" s="218"/>
      <c r="T49" s="218"/>
      <c r="U49" s="218"/>
      <c r="V49" s="218"/>
      <c r="W49" s="218"/>
      <c r="X49" s="218"/>
      <c r="Y49" s="218"/>
      <c r="Z49" s="218"/>
      <c r="AA49" s="235"/>
      <c r="AB49" s="132"/>
      <c r="AC49" s="131"/>
      <c r="AD49" s="131"/>
      <c r="AE49" s="131"/>
      <c r="AF49" s="131"/>
      <c r="AG49" s="131"/>
      <c r="AH49" s="133"/>
      <c r="AI49" s="133"/>
      <c r="AJ49" s="133"/>
      <c r="AK49" s="133"/>
      <c r="AL49" s="133"/>
      <c r="AM49" s="133"/>
      <c r="AN49" s="133"/>
      <c r="AO49" s="133"/>
      <c r="AP49" s="133"/>
      <c r="AQ49" s="133"/>
      <c r="AR49" s="133"/>
      <c r="AS49" s="133"/>
      <c r="AT49" s="133"/>
      <c r="AU49" s="133"/>
      <c r="AV49" s="133"/>
      <c r="AW49" s="133"/>
      <c r="AX49" s="133"/>
    </row>
    <row r="50" spans="1:50" ht="13" customHeight="1" x14ac:dyDescent="0.15">
      <c r="A50" s="236" t="s">
        <v>248</v>
      </c>
      <c r="B50" s="220">
        <v>50</v>
      </c>
      <c r="C50" s="221"/>
      <c r="D50" s="222"/>
      <c r="E50" s="223">
        <v>300</v>
      </c>
      <c r="F50" s="150"/>
      <c r="G50" s="224"/>
      <c r="H50" s="225"/>
      <c r="I50" s="224"/>
      <c r="J50" s="224"/>
      <c r="K50" s="224"/>
      <c r="L50" s="226"/>
      <c r="M50" s="224"/>
      <c r="N50" s="226"/>
      <c r="O50" s="224"/>
      <c r="P50" s="226"/>
      <c r="Q50" s="224"/>
      <c r="R50" s="226"/>
      <c r="S50" s="224"/>
      <c r="T50" s="226"/>
      <c r="U50" s="224"/>
      <c r="V50" s="226"/>
      <c r="W50" s="224"/>
      <c r="X50" s="224"/>
      <c r="Y50" s="224"/>
      <c r="Z50" s="224"/>
      <c r="AA50" s="237"/>
      <c r="AB50" s="132"/>
      <c r="AC50" s="131"/>
      <c r="AD50" s="131"/>
      <c r="AE50" s="131"/>
      <c r="AF50" s="131"/>
      <c r="AG50" s="131"/>
      <c r="AH50" s="133"/>
      <c r="AI50" s="133"/>
      <c r="AJ50" s="133"/>
      <c r="AK50" s="133"/>
      <c r="AL50" s="133"/>
      <c r="AM50" s="133"/>
      <c r="AN50" s="133"/>
      <c r="AO50" s="133"/>
      <c r="AP50" s="133"/>
      <c r="AQ50" s="133"/>
      <c r="AR50" s="133"/>
      <c r="AS50" s="133"/>
      <c r="AT50" s="133"/>
      <c r="AU50" s="133"/>
      <c r="AV50" s="133"/>
      <c r="AW50" s="133"/>
      <c r="AX50" s="133"/>
    </row>
    <row r="51" spans="1:50" ht="13" customHeight="1" x14ac:dyDescent="0.15">
      <c r="A51" s="236"/>
      <c r="B51" s="227"/>
      <c r="C51" s="224"/>
      <c r="D51" s="225"/>
      <c r="E51" s="228"/>
      <c r="F51" s="150"/>
      <c r="G51" s="224"/>
      <c r="H51" s="225"/>
      <c r="I51" s="224"/>
      <c r="J51" s="224"/>
      <c r="K51" s="224"/>
      <c r="L51" s="226"/>
      <c r="M51" s="224"/>
      <c r="N51" s="226"/>
      <c r="O51" s="224"/>
      <c r="P51" s="226"/>
      <c r="Q51" s="224"/>
      <c r="R51" s="226"/>
      <c r="S51" s="224"/>
      <c r="T51" s="226"/>
      <c r="U51" s="224"/>
      <c r="V51" s="226"/>
      <c r="W51" s="224"/>
      <c r="X51" s="224"/>
      <c r="Y51" s="224"/>
      <c r="Z51" s="224"/>
      <c r="AA51" s="237"/>
      <c r="AB51" s="132"/>
      <c r="AC51" s="131"/>
      <c r="AD51" s="131"/>
      <c r="AE51" s="131"/>
      <c r="AF51" s="131"/>
      <c r="AG51" s="131"/>
      <c r="AH51" s="133"/>
      <c r="AI51" s="133"/>
      <c r="AJ51" s="133"/>
      <c r="AK51" s="133"/>
      <c r="AL51" s="133"/>
      <c r="AM51" s="133"/>
      <c r="AN51" s="133"/>
      <c r="AO51" s="133"/>
      <c r="AP51" s="133"/>
      <c r="AQ51" s="133"/>
      <c r="AR51" s="133"/>
      <c r="AS51" s="133"/>
      <c r="AT51" s="133"/>
      <c r="AU51" s="133"/>
      <c r="AV51" s="133"/>
      <c r="AW51" s="133"/>
      <c r="AX51" s="133"/>
    </row>
    <row r="52" spans="1:50" ht="24" customHeight="1" x14ac:dyDescent="0.15">
      <c r="A52" s="297" t="s">
        <v>307</v>
      </c>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9"/>
      <c r="AB52" s="132"/>
      <c r="AC52" s="131"/>
      <c r="AD52" s="131"/>
      <c r="AE52" s="131"/>
      <c r="AF52" s="131"/>
      <c r="AG52" s="131"/>
      <c r="AH52" s="133"/>
      <c r="AI52" s="133"/>
      <c r="AJ52" s="133"/>
      <c r="AK52" s="133"/>
      <c r="AL52" s="133"/>
      <c r="AM52" s="133"/>
      <c r="AN52" s="133"/>
      <c r="AO52" s="133"/>
      <c r="AP52" s="133"/>
      <c r="AQ52" s="133"/>
      <c r="AR52" s="133"/>
      <c r="AS52" s="133"/>
      <c r="AT52" s="133"/>
      <c r="AU52" s="133"/>
      <c r="AV52" s="133"/>
      <c r="AW52" s="133"/>
      <c r="AX52" s="133"/>
    </row>
    <row r="53" spans="1:50" ht="13" customHeight="1" x14ac:dyDescent="0.15">
      <c r="A53" s="236"/>
      <c r="B53" s="227"/>
      <c r="C53" s="224"/>
      <c r="D53" s="225"/>
      <c r="E53" s="229" t="s">
        <v>17</v>
      </c>
      <c r="F53" s="150"/>
      <c r="G53" s="224"/>
      <c r="H53" s="225"/>
      <c r="I53" s="224"/>
      <c r="J53" s="224"/>
      <c r="K53" s="224"/>
      <c r="L53" s="226"/>
      <c r="M53" s="224"/>
      <c r="N53" s="226"/>
      <c r="O53" s="224"/>
      <c r="P53" s="226"/>
      <c r="Q53" s="224"/>
      <c r="R53" s="226"/>
      <c r="S53" s="224"/>
      <c r="T53" s="226"/>
      <c r="U53" s="224"/>
      <c r="V53" s="226"/>
      <c r="W53" s="224"/>
      <c r="X53" s="224"/>
      <c r="Y53" s="224"/>
      <c r="Z53" s="224"/>
      <c r="AA53" s="237"/>
      <c r="AB53" s="132"/>
      <c r="AC53" s="131"/>
      <c r="AD53" s="131"/>
      <c r="AE53" s="131"/>
      <c r="AF53" s="131"/>
      <c r="AG53" s="131"/>
      <c r="AH53" s="133"/>
      <c r="AI53" s="133"/>
      <c r="AJ53" s="133"/>
      <c r="AK53" s="133"/>
      <c r="AL53" s="133"/>
      <c r="AM53" s="133"/>
      <c r="AN53" s="133"/>
      <c r="AO53" s="133"/>
      <c r="AP53" s="133"/>
      <c r="AQ53" s="133"/>
      <c r="AR53" s="133"/>
      <c r="AS53" s="133"/>
      <c r="AT53" s="133"/>
      <c r="AU53" s="133"/>
      <c r="AV53" s="133"/>
      <c r="AW53" s="133"/>
      <c r="AX53" s="133"/>
    </row>
    <row r="54" spans="1:50" ht="13" customHeight="1" x14ac:dyDescent="0.15">
      <c r="A54" s="236" t="s">
        <v>303</v>
      </c>
      <c r="B54" s="230">
        <v>100</v>
      </c>
      <c r="C54" s="231"/>
      <c r="D54" s="232"/>
      <c r="E54" s="233">
        <v>266</v>
      </c>
      <c r="F54" s="150"/>
      <c r="G54" s="224"/>
      <c r="H54" s="225"/>
      <c r="I54" s="224"/>
      <c r="J54" s="224"/>
      <c r="K54" s="224"/>
      <c r="L54" s="226"/>
      <c r="M54" s="224"/>
      <c r="N54" s="226"/>
      <c r="O54" s="224"/>
      <c r="P54" s="226"/>
      <c r="Q54" s="224"/>
      <c r="R54" s="226"/>
      <c r="S54" s="224"/>
      <c r="T54" s="226"/>
      <c r="U54" s="224"/>
      <c r="V54" s="226"/>
      <c r="W54" s="224"/>
      <c r="X54" s="224"/>
      <c r="Y54" s="224"/>
      <c r="Z54" s="224"/>
      <c r="AA54" s="237"/>
      <c r="AB54" s="132"/>
      <c r="AC54" s="131"/>
      <c r="AD54" s="131"/>
      <c r="AE54" s="131"/>
      <c r="AF54" s="131"/>
      <c r="AG54" s="131"/>
      <c r="AH54" s="133"/>
      <c r="AI54" s="133"/>
      <c r="AJ54" s="133"/>
      <c r="AK54" s="133"/>
      <c r="AL54" s="133"/>
      <c r="AM54" s="133"/>
      <c r="AN54" s="133"/>
      <c r="AO54" s="133"/>
      <c r="AP54" s="133"/>
      <c r="AQ54" s="133"/>
      <c r="AR54" s="133"/>
      <c r="AS54" s="133"/>
      <c r="AT54" s="133"/>
      <c r="AU54" s="133"/>
      <c r="AV54" s="133"/>
      <c r="AW54" s="133"/>
      <c r="AX54" s="133"/>
    </row>
    <row r="55" spans="1:50" ht="27" customHeight="1" x14ac:dyDescent="0.15">
      <c r="A55" s="297" t="s">
        <v>308</v>
      </c>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9"/>
      <c r="AB55" s="132"/>
      <c r="AC55" s="131"/>
      <c r="AD55" s="131"/>
      <c r="AE55" s="131"/>
      <c r="AF55" s="131"/>
      <c r="AG55" s="131"/>
      <c r="AH55" s="133"/>
      <c r="AI55" s="133"/>
      <c r="AJ55" s="133"/>
      <c r="AK55" s="133"/>
      <c r="AL55" s="133"/>
      <c r="AM55" s="133"/>
      <c r="AN55" s="133"/>
      <c r="AO55" s="133"/>
      <c r="AP55" s="133"/>
      <c r="AQ55" s="133"/>
      <c r="AR55" s="133"/>
      <c r="AS55" s="133"/>
      <c r="AT55" s="133"/>
      <c r="AU55" s="133"/>
      <c r="AV55" s="133"/>
      <c r="AW55" s="133"/>
      <c r="AX55" s="133"/>
    </row>
    <row r="56" spans="1:50" ht="13" customHeight="1" x14ac:dyDescent="0.15">
      <c r="A56" s="236"/>
      <c r="B56" s="227"/>
      <c r="C56" s="224"/>
      <c r="D56" s="225"/>
      <c r="E56" s="229" t="s">
        <v>17</v>
      </c>
      <c r="F56" s="150"/>
      <c r="G56" s="224"/>
      <c r="H56" s="225"/>
      <c r="I56" s="224"/>
      <c r="J56" s="224"/>
      <c r="K56" s="224"/>
      <c r="L56" s="226"/>
      <c r="M56" s="224"/>
      <c r="N56" s="226"/>
      <c r="O56" s="224"/>
      <c r="P56" s="226"/>
      <c r="Q56" s="224"/>
      <c r="R56" s="226"/>
      <c r="S56" s="224"/>
      <c r="T56" s="226"/>
      <c r="U56" s="224"/>
      <c r="V56" s="226"/>
      <c r="W56" s="224"/>
      <c r="X56" s="224"/>
      <c r="Y56" s="224"/>
      <c r="Z56" s="224"/>
      <c r="AA56" s="237"/>
      <c r="AB56" s="132"/>
      <c r="AC56" s="131"/>
      <c r="AD56" s="131"/>
      <c r="AE56" s="131"/>
      <c r="AF56" s="131"/>
      <c r="AG56" s="131"/>
      <c r="AH56" s="133"/>
      <c r="AI56" s="133"/>
      <c r="AJ56" s="133"/>
      <c r="AK56" s="133"/>
      <c r="AL56" s="133"/>
      <c r="AM56" s="133"/>
      <c r="AN56" s="133"/>
      <c r="AO56" s="133"/>
      <c r="AP56" s="133"/>
      <c r="AQ56" s="133"/>
      <c r="AR56" s="133"/>
      <c r="AS56" s="133"/>
      <c r="AT56" s="133"/>
      <c r="AU56" s="133"/>
      <c r="AV56" s="133"/>
      <c r="AW56" s="133"/>
      <c r="AX56" s="133"/>
    </row>
    <row r="57" spans="1:50" ht="13" customHeight="1" x14ac:dyDescent="0.15">
      <c r="A57" s="236" t="s">
        <v>303</v>
      </c>
      <c r="B57" s="230">
        <v>100</v>
      </c>
      <c r="C57" s="231"/>
      <c r="D57" s="232"/>
      <c r="E57" s="233">
        <v>271</v>
      </c>
      <c r="F57" s="150"/>
      <c r="G57" s="224"/>
      <c r="H57" s="225"/>
      <c r="I57" s="224"/>
      <c r="J57" s="224"/>
      <c r="K57" s="224"/>
      <c r="L57" s="226"/>
      <c r="M57" s="224"/>
      <c r="N57" s="226"/>
      <c r="O57" s="224"/>
      <c r="P57" s="226"/>
      <c r="Q57" s="224"/>
      <c r="R57" s="226"/>
      <c r="S57" s="224"/>
      <c r="T57" s="226"/>
      <c r="U57" s="224"/>
      <c r="V57" s="226"/>
      <c r="W57" s="224"/>
      <c r="X57" s="224"/>
      <c r="Y57" s="224"/>
      <c r="Z57" s="224"/>
      <c r="AA57" s="237"/>
      <c r="AB57" s="132"/>
      <c r="AC57" s="131"/>
      <c r="AD57" s="131"/>
      <c r="AE57" s="131"/>
      <c r="AF57" s="131"/>
      <c r="AG57" s="131"/>
      <c r="AH57" s="133"/>
      <c r="AI57" s="133"/>
      <c r="AJ57" s="133"/>
      <c r="AK57" s="133"/>
      <c r="AL57" s="133"/>
      <c r="AM57" s="133"/>
      <c r="AN57" s="133"/>
      <c r="AO57" s="133"/>
      <c r="AP57" s="133"/>
      <c r="AQ57" s="133"/>
      <c r="AR57" s="133"/>
      <c r="AS57" s="133"/>
      <c r="AT57" s="133"/>
      <c r="AU57" s="133"/>
      <c r="AV57" s="133"/>
      <c r="AW57" s="133"/>
      <c r="AX57" s="133"/>
    </row>
    <row r="58" spans="1:50" ht="13" customHeight="1" thickBot="1" x14ac:dyDescent="0.2">
      <c r="A58" s="238"/>
      <c r="B58" s="239"/>
      <c r="C58" s="240"/>
      <c r="D58" s="241"/>
      <c r="E58" s="242"/>
      <c r="F58" s="147"/>
      <c r="G58" s="240"/>
      <c r="H58" s="241"/>
      <c r="I58" s="240"/>
      <c r="J58" s="240"/>
      <c r="K58" s="240"/>
      <c r="L58" s="243"/>
      <c r="M58" s="240"/>
      <c r="N58" s="243"/>
      <c r="O58" s="240"/>
      <c r="P58" s="243"/>
      <c r="Q58" s="240"/>
      <c r="R58" s="243"/>
      <c r="S58" s="240"/>
      <c r="T58" s="243"/>
      <c r="U58" s="240"/>
      <c r="V58" s="243"/>
      <c r="W58" s="240"/>
      <c r="X58" s="240"/>
      <c r="Y58" s="240"/>
      <c r="Z58" s="240"/>
      <c r="AA58" s="244"/>
      <c r="AB58" s="132"/>
      <c r="AC58" s="131"/>
      <c r="AD58" s="131"/>
      <c r="AE58" s="131"/>
      <c r="AF58" s="131"/>
      <c r="AG58" s="131"/>
      <c r="AH58" s="133"/>
      <c r="AI58" s="133"/>
      <c r="AJ58" s="133"/>
      <c r="AK58" s="133"/>
      <c r="AL58" s="133"/>
      <c r="AM58" s="133"/>
      <c r="AN58" s="133"/>
      <c r="AO58" s="133"/>
      <c r="AP58" s="133"/>
      <c r="AQ58" s="133"/>
      <c r="AR58" s="133"/>
      <c r="AS58" s="133"/>
      <c r="AT58" s="133"/>
      <c r="AU58" s="133"/>
      <c r="AV58" s="133"/>
      <c r="AW58" s="133"/>
      <c r="AX58" s="133"/>
    </row>
    <row r="59" spans="1:50" ht="14" thickBot="1" x14ac:dyDescent="0.2">
      <c r="A59" s="261" t="s">
        <v>304</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3"/>
      <c r="AB59" s="132"/>
      <c r="AC59" s="131"/>
      <c r="AD59" s="131"/>
      <c r="AE59" s="131"/>
      <c r="AF59" s="131"/>
      <c r="AG59" s="131"/>
    </row>
    <row r="60" spans="1:50" x14ac:dyDescent="0.15">
      <c r="A60" s="300" t="s">
        <v>309</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2"/>
      <c r="AB60" s="131"/>
      <c r="AC60" s="131"/>
      <c r="AD60" s="131"/>
      <c r="AE60" s="131"/>
      <c r="AF60" s="131"/>
      <c r="AG60" s="131"/>
    </row>
    <row r="61" spans="1:50" ht="14" thickBot="1" x14ac:dyDescent="0.2">
      <c r="A61" s="293" t="s">
        <v>272</v>
      </c>
      <c r="B61" s="294"/>
      <c r="C61" s="294"/>
      <c r="D61" s="294"/>
      <c r="E61" s="294"/>
      <c r="F61" s="294"/>
      <c r="G61" s="294"/>
      <c r="H61" s="294"/>
      <c r="I61" s="294"/>
      <c r="J61" s="294"/>
      <c r="K61" s="294"/>
      <c r="L61" s="295"/>
      <c r="M61" s="295"/>
      <c r="N61" s="295"/>
      <c r="O61" s="295"/>
      <c r="P61" s="295"/>
      <c r="Q61" s="295"/>
      <c r="R61" s="295"/>
      <c r="S61" s="295"/>
      <c r="T61" s="295"/>
      <c r="U61" s="295"/>
      <c r="V61" s="295"/>
      <c r="W61" s="295"/>
      <c r="X61" s="295"/>
      <c r="Y61" s="295"/>
      <c r="Z61" s="295"/>
      <c r="AA61" s="296"/>
      <c r="AB61" s="131"/>
      <c r="AC61" s="131"/>
      <c r="AD61" s="131"/>
      <c r="AE61" s="131"/>
      <c r="AF61" s="131"/>
      <c r="AG61" s="131"/>
    </row>
    <row r="62" spans="1:50" x14ac:dyDescent="0.15">
      <c r="A62" s="310" t="s">
        <v>271</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2"/>
    </row>
    <row r="63" spans="1:50" x14ac:dyDescent="0.15">
      <c r="A63" s="313"/>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2"/>
    </row>
    <row r="64" spans="1:50" ht="12" customHeight="1" thickBot="1" x14ac:dyDescent="0.2">
      <c r="A64" s="314"/>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6"/>
    </row>
    <row r="65" spans="3:23" x14ac:dyDescent="0.15">
      <c r="C65" s="130"/>
    </row>
    <row r="67" spans="3:23" x14ac:dyDescent="0.15">
      <c r="W67" s="129"/>
    </row>
    <row r="69" spans="3:23" x14ac:dyDescent="0.15">
      <c r="U69" s="128"/>
      <c r="V69" s="128"/>
      <c r="W69" s="128"/>
    </row>
  </sheetData>
  <mergeCells count="139">
    <mergeCell ref="A62:AA64"/>
    <mergeCell ref="T21:U21"/>
    <mergeCell ref="V21:W21"/>
    <mergeCell ref="X21:Y21"/>
    <mergeCell ref="Z21:AA21"/>
    <mergeCell ref="A24:A29"/>
    <mergeCell ref="N34:O34"/>
    <mergeCell ref="P22:Q22"/>
    <mergeCell ref="X34:Y34"/>
    <mergeCell ref="Z34:AA34"/>
    <mergeCell ref="X33:Y33"/>
    <mergeCell ref="X22:Y22"/>
    <mergeCell ref="Z22:AA22"/>
    <mergeCell ref="A34:C34"/>
    <mergeCell ref="D34:E34"/>
    <mergeCell ref="F34:G34"/>
    <mergeCell ref="H34:I34"/>
    <mergeCell ref="J34:K34"/>
    <mergeCell ref="L34:M34"/>
    <mergeCell ref="A31:AA31"/>
    <mergeCell ref="A32:C32"/>
    <mergeCell ref="D32:E32"/>
    <mergeCell ref="F32:G32"/>
    <mergeCell ref="H32:I32"/>
    <mergeCell ref="J32:K32"/>
    <mergeCell ref="P34:Q34"/>
    <mergeCell ref="R34:S34"/>
    <mergeCell ref="T34:U34"/>
    <mergeCell ref="V34:W34"/>
    <mergeCell ref="A61:AA61"/>
    <mergeCell ref="V32:W32"/>
    <mergeCell ref="X32:Y32"/>
    <mergeCell ref="Z32:AA32"/>
    <mergeCell ref="V33:W33"/>
    <mergeCell ref="A52:AA52"/>
    <mergeCell ref="A60:AA60"/>
    <mergeCell ref="A44:C44"/>
    <mergeCell ref="E44:I44"/>
    <mergeCell ref="Z33:AA33"/>
    <mergeCell ref="L32:M32"/>
    <mergeCell ref="N32:O32"/>
    <mergeCell ref="P32:Q32"/>
    <mergeCell ref="R32:S32"/>
    <mergeCell ref="J33:K33"/>
    <mergeCell ref="A47:AA47"/>
    <mergeCell ref="A43:AA43"/>
    <mergeCell ref="A55:AA55"/>
    <mergeCell ref="A1:I5"/>
    <mergeCell ref="A6:AA6"/>
    <mergeCell ref="J9:K9"/>
    <mergeCell ref="L9:M9"/>
    <mergeCell ref="N9:O9"/>
    <mergeCell ref="P9:Q9"/>
    <mergeCell ref="R9:S9"/>
    <mergeCell ref="T9:U9"/>
    <mergeCell ref="V9:W9"/>
    <mergeCell ref="X9:Y9"/>
    <mergeCell ref="A7:AA7"/>
    <mergeCell ref="A8:C8"/>
    <mergeCell ref="D8:E8"/>
    <mergeCell ref="F8:G8"/>
    <mergeCell ref="H8:I8"/>
    <mergeCell ref="J8:K8"/>
    <mergeCell ref="L8:M8"/>
    <mergeCell ref="N8:O8"/>
    <mergeCell ref="P8:Q8"/>
    <mergeCell ref="R8:S8"/>
    <mergeCell ref="T8:U8"/>
    <mergeCell ref="V8:W8"/>
    <mergeCell ref="X8:Y8"/>
    <mergeCell ref="Z8:AA8"/>
    <mergeCell ref="T22:U22"/>
    <mergeCell ref="A22:C22"/>
    <mergeCell ref="N20:O20"/>
    <mergeCell ref="P20:Q20"/>
    <mergeCell ref="R20:S20"/>
    <mergeCell ref="T20:U20"/>
    <mergeCell ref="V20:W20"/>
    <mergeCell ref="X20:Y20"/>
    <mergeCell ref="L20:M20"/>
    <mergeCell ref="L21:M21"/>
    <mergeCell ref="N21:O21"/>
    <mergeCell ref="P21:Q21"/>
    <mergeCell ref="D22:E22"/>
    <mergeCell ref="F22:G22"/>
    <mergeCell ref="A20:C20"/>
    <mergeCell ref="D20:E20"/>
    <mergeCell ref="F20:G20"/>
    <mergeCell ref="H20:I20"/>
    <mergeCell ref="A21:C21"/>
    <mergeCell ref="D21:E21"/>
    <mergeCell ref="A9:C9"/>
    <mergeCell ref="D9:E9"/>
    <mergeCell ref="F9:G9"/>
    <mergeCell ref="H9:I9"/>
    <mergeCell ref="N22:O22"/>
    <mergeCell ref="A59:AA59"/>
    <mergeCell ref="A12:A17"/>
    <mergeCell ref="Z9:AA9"/>
    <mergeCell ref="A10:C10"/>
    <mergeCell ref="D10:E10"/>
    <mergeCell ref="A45:C45"/>
    <mergeCell ref="R33:S33"/>
    <mergeCell ref="T33:U33"/>
    <mergeCell ref="A33:C33"/>
    <mergeCell ref="D33:E33"/>
    <mergeCell ref="F33:G33"/>
    <mergeCell ref="H33:I33"/>
    <mergeCell ref="R21:S21"/>
    <mergeCell ref="V22:W22"/>
    <mergeCell ref="A48:C48"/>
    <mergeCell ref="E48:I48"/>
    <mergeCell ref="A49:C49"/>
    <mergeCell ref="T32:U32"/>
    <mergeCell ref="A36:A41"/>
    <mergeCell ref="R10:S10"/>
    <mergeCell ref="T10:U10"/>
    <mergeCell ref="V10:W10"/>
    <mergeCell ref="X10:Y10"/>
    <mergeCell ref="Z10:AA10"/>
    <mergeCell ref="N33:O33"/>
    <mergeCell ref="P33:Q33"/>
    <mergeCell ref="F10:G10"/>
    <mergeCell ref="H10:I10"/>
    <mergeCell ref="J10:K10"/>
    <mergeCell ref="L10:M10"/>
    <mergeCell ref="N10:O10"/>
    <mergeCell ref="P10:Q10"/>
    <mergeCell ref="L33:M33"/>
    <mergeCell ref="L22:M22"/>
    <mergeCell ref="J20:K20"/>
    <mergeCell ref="Z20:AA20"/>
    <mergeCell ref="F21:G21"/>
    <mergeCell ref="H21:I21"/>
    <mergeCell ref="J21:K21"/>
    <mergeCell ref="A19:AA19"/>
    <mergeCell ref="H22:I22"/>
    <mergeCell ref="J22:K22"/>
    <mergeCell ref="R22:S22"/>
  </mergeCells>
  <pageMargins left="0.75" right="0.75" top="1" bottom="1" header="0.5" footer="0.5"/>
  <pageSetup paperSize="9" scale="48" orientation="landscape"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E50"/>
  <sheetViews>
    <sheetView workbookViewId="0">
      <selection activeCell="G4" sqref="G4"/>
    </sheetView>
  </sheetViews>
  <sheetFormatPr baseColWidth="10" defaultColWidth="8.796875" defaultRowHeight="13" x14ac:dyDescent="0.15"/>
  <cols>
    <col min="1" max="256" width="11.3984375" customWidth="1"/>
  </cols>
  <sheetData>
    <row r="1" spans="1:5" ht="42" customHeight="1" thickBot="1" x14ac:dyDescent="0.2">
      <c r="A1" s="521"/>
      <c r="B1" s="521"/>
      <c r="C1" s="521"/>
      <c r="D1" s="521"/>
      <c r="E1" s="521"/>
    </row>
    <row r="2" spans="1:5" ht="18" x14ac:dyDescent="0.15">
      <c r="A2" s="515" t="s">
        <v>231</v>
      </c>
      <c r="B2" s="516"/>
      <c r="C2" s="516"/>
      <c r="D2" s="516"/>
      <c r="E2" s="517"/>
    </row>
    <row r="3" spans="1:5" ht="14" x14ac:dyDescent="0.15">
      <c r="A3" s="518" t="s">
        <v>232</v>
      </c>
      <c r="B3" s="519"/>
      <c r="C3" s="519"/>
      <c r="D3" s="519"/>
      <c r="E3" s="520"/>
    </row>
    <row r="4" spans="1:5" ht="45.75" customHeight="1" x14ac:dyDescent="0.15">
      <c r="A4" s="526" t="s">
        <v>233</v>
      </c>
      <c r="B4" s="527"/>
      <c r="C4" s="527"/>
      <c r="D4" s="527"/>
      <c r="E4" s="528"/>
    </row>
    <row r="5" spans="1:5" ht="30" x14ac:dyDescent="0.15">
      <c r="A5" s="529" t="s">
        <v>159</v>
      </c>
      <c r="B5" s="2" t="s">
        <v>2</v>
      </c>
      <c r="C5" s="9" t="s">
        <v>19</v>
      </c>
      <c r="D5" s="10" t="s">
        <v>0</v>
      </c>
      <c r="E5" s="530" t="s">
        <v>158</v>
      </c>
    </row>
    <row r="6" spans="1:5" ht="15" x14ac:dyDescent="0.15">
      <c r="A6" s="529"/>
      <c r="B6" s="2" t="s">
        <v>229</v>
      </c>
      <c r="C6" s="3" t="s">
        <v>80</v>
      </c>
      <c r="D6" s="4" t="s">
        <v>1</v>
      </c>
      <c r="E6" s="530"/>
    </row>
    <row r="7" spans="1:5" x14ac:dyDescent="0.15">
      <c r="A7" s="14"/>
      <c r="B7" s="13"/>
      <c r="C7" s="13"/>
      <c r="D7" s="13"/>
      <c r="E7" s="15"/>
    </row>
    <row r="8" spans="1:5" ht="14" x14ac:dyDescent="0.15">
      <c r="A8" s="11"/>
      <c r="B8" s="5"/>
      <c r="C8" s="6"/>
      <c r="D8" s="7"/>
      <c r="E8" s="12"/>
    </row>
    <row r="9" spans="1:5" ht="14" x14ac:dyDescent="0.15">
      <c r="A9" s="11"/>
      <c r="B9" s="5"/>
      <c r="C9" s="6"/>
      <c r="D9" s="7"/>
      <c r="E9" s="12"/>
    </row>
    <row r="10" spans="1:5" ht="14" x14ac:dyDescent="0.15">
      <c r="A10" s="11"/>
      <c r="B10" s="5"/>
      <c r="C10" s="6"/>
      <c r="D10" s="7"/>
      <c r="E10" s="12"/>
    </row>
    <row r="11" spans="1:5" ht="14" x14ac:dyDescent="0.15">
      <c r="A11" s="11"/>
      <c r="B11" s="5"/>
      <c r="C11" s="6"/>
      <c r="D11" s="7"/>
      <c r="E11" s="12"/>
    </row>
    <row r="12" spans="1:5" ht="14" x14ac:dyDescent="0.15">
      <c r="A12" s="11"/>
      <c r="B12" s="5"/>
      <c r="C12" s="6"/>
      <c r="D12" s="7"/>
      <c r="E12" s="12"/>
    </row>
    <row r="13" spans="1:5" ht="14" x14ac:dyDescent="0.15">
      <c r="A13" s="11"/>
      <c r="B13" s="5"/>
      <c r="C13" s="6"/>
      <c r="D13" s="7"/>
      <c r="E13" s="12"/>
    </row>
    <row r="14" spans="1:5" x14ac:dyDescent="0.15">
      <c r="A14" s="14"/>
      <c r="B14" s="13"/>
      <c r="C14" s="13"/>
      <c r="D14" s="13"/>
      <c r="E14" s="15"/>
    </row>
    <row r="15" spans="1:5" ht="14" x14ac:dyDescent="0.15">
      <c r="A15" s="11"/>
      <c r="B15" s="5"/>
      <c r="C15" s="6"/>
      <c r="D15" s="7"/>
      <c r="E15" s="12"/>
    </row>
    <row r="16" spans="1:5" ht="14" x14ac:dyDescent="0.15">
      <c r="A16" s="11"/>
      <c r="B16" s="5"/>
      <c r="C16" s="6"/>
      <c r="D16" s="7"/>
      <c r="E16" s="12"/>
    </row>
    <row r="17" spans="1:5" ht="14" x14ac:dyDescent="0.15">
      <c r="A17" s="11"/>
      <c r="B17" s="5"/>
      <c r="C17" s="6"/>
      <c r="D17" s="7"/>
      <c r="E17" s="12"/>
    </row>
    <row r="18" spans="1:5" ht="14" x14ac:dyDescent="0.15">
      <c r="A18" s="11"/>
      <c r="B18" s="5"/>
      <c r="C18" s="6"/>
      <c r="D18" s="7"/>
      <c r="E18" s="12"/>
    </row>
    <row r="19" spans="1:5" ht="14" x14ac:dyDescent="0.15">
      <c r="A19" s="11"/>
      <c r="B19" s="5"/>
      <c r="C19" s="6"/>
      <c r="D19" s="7"/>
      <c r="E19" s="12"/>
    </row>
    <row r="20" spans="1:5" ht="14" x14ac:dyDescent="0.15">
      <c r="A20" s="11"/>
      <c r="B20" s="5"/>
      <c r="C20" s="6"/>
      <c r="D20" s="7"/>
      <c r="E20" s="12"/>
    </row>
    <row r="21" spans="1:5" ht="14" x14ac:dyDescent="0.15">
      <c r="A21" s="11"/>
      <c r="B21" s="5"/>
      <c r="C21" s="6"/>
      <c r="D21" s="7"/>
      <c r="E21" s="12"/>
    </row>
    <row r="22" spans="1:5" ht="14" x14ac:dyDescent="0.15">
      <c r="A22" s="11"/>
      <c r="B22" s="5"/>
      <c r="C22" s="6"/>
      <c r="D22" s="7"/>
      <c r="E22" s="12"/>
    </row>
    <row r="23" spans="1:5" ht="14" x14ac:dyDescent="0.15">
      <c r="A23" s="11"/>
      <c r="B23" s="5"/>
      <c r="C23" s="6"/>
      <c r="D23" s="7"/>
      <c r="E23" s="12"/>
    </row>
    <row r="24" spans="1:5" ht="14" x14ac:dyDescent="0.15">
      <c r="A24" s="11"/>
      <c r="B24" s="5"/>
      <c r="C24" s="6"/>
      <c r="D24" s="7"/>
      <c r="E24" s="12"/>
    </row>
    <row r="25" spans="1:5" x14ac:dyDescent="0.15">
      <c r="A25" s="14"/>
      <c r="B25" s="13"/>
      <c r="C25" s="13"/>
      <c r="D25" s="13"/>
      <c r="E25" s="15"/>
    </row>
    <row r="26" spans="1:5" ht="14" x14ac:dyDescent="0.15">
      <c r="A26" s="11"/>
      <c r="B26" s="5"/>
      <c r="C26" s="8"/>
      <c r="D26" s="7"/>
      <c r="E26" s="12"/>
    </row>
    <row r="27" spans="1:5" ht="14" x14ac:dyDescent="0.15">
      <c r="A27" s="11"/>
      <c r="B27" s="5"/>
      <c r="C27" s="8"/>
      <c r="D27" s="7"/>
      <c r="E27" s="12"/>
    </row>
    <row r="28" spans="1:5" ht="14" x14ac:dyDescent="0.15">
      <c r="A28" s="11"/>
      <c r="B28" s="5"/>
      <c r="C28" s="8"/>
      <c r="D28" s="7"/>
      <c r="E28" s="12"/>
    </row>
    <row r="29" spans="1:5" ht="14" x14ac:dyDescent="0.15">
      <c r="A29" s="11"/>
      <c r="B29" s="5"/>
      <c r="C29" s="8"/>
      <c r="D29" s="7"/>
      <c r="E29" s="12"/>
    </row>
    <row r="30" spans="1:5" ht="14" x14ac:dyDescent="0.15">
      <c r="A30" s="11"/>
      <c r="B30" s="5"/>
      <c r="C30" s="8"/>
      <c r="D30" s="7"/>
      <c r="E30" s="12"/>
    </row>
    <row r="31" spans="1:5" ht="14" x14ac:dyDescent="0.15">
      <c r="A31" s="11"/>
      <c r="B31" s="5"/>
      <c r="C31" s="8"/>
      <c r="D31" s="7"/>
      <c r="E31" s="12"/>
    </row>
    <row r="32" spans="1:5" ht="14" x14ac:dyDescent="0.15">
      <c r="A32" s="11"/>
      <c r="B32" s="5"/>
      <c r="C32" s="8"/>
      <c r="D32" s="7"/>
      <c r="E32" s="12"/>
    </row>
    <row r="33" spans="1:5" ht="14" x14ac:dyDescent="0.15">
      <c r="A33" s="11"/>
      <c r="B33" s="5"/>
      <c r="C33" s="8"/>
      <c r="D33" s="7"/>
      <c r="E33" s="12"/>
    </row>
    <row r="34" spans="1:5" ht="14" x14ac:dyDescent="0.15">
      <c r="A34" s="11"/>
      <c r="B34" s="5"/>
      <c r="C34" s="8"/>
      <c r="D34" s="7"/>
      <c r="E34" s="12"/>
    </row>
    <row r="35" spans="1:5" ht="14" x14ac:dyDescent="0.15">
      <c r="A35" s="11"/>
      <c r="B35" s="5"/>
      <c r="C35" s="8"/>
      <c r="D35" s="7"/>
      <c r="E35" s="12"/>
    </row>
    <row r="36" spans="1:5" ht="14" x14ac:dyDescent="0.15">
      <c r="A36" s="11"/>
      <c r="B36" s="5"/>
      <c r="C36" s="8"/>
      <c r="D36" s="7"/>
      <c r="E36" s="12"/>
    </row>
    <row r="37" spans="1:5" ht="14" x14ac:dyDescent="0.15">
      <c r="A37" s="11"/>
      <c r="B37" s="5"/>
      <c r="C37" s="8"/>
      <c r="D37" s="7"/>
      <c r="E37" s="12"/>
    </row>
    <row r="38" spans="1:5" ht="14" x14ac:dyDescent="0.15">
      <c r="A38" s="11"/>
      <c r="B38" s="5"/>
      <c r="C38" s="8"/>
      <c r="D38" s="7"/>
      <c r="E38" s="12"/>
    </row>
    <row r="39" spans="1:5" ht="14" x14ac:dyDescent="0.15">
      <c r="A39" s="11"/>
      <c r="B39" s="5"/>
      <c r="C39" s="8"/>
      <c r="D39" s="7"/>
      <c r="E39" s="12"/>
    </row>
    <row r="40" spans="1:5" ht="14" x14ac:dyDescent="0.15">
      <c r="A40" s="11"/>
      <c r="B40" s="5"/>
      <c r="C40" s="8"/>
      <c r="D40" s="7"/>
      <c r="E40" s="12"/>
    </row>
    <row r="41" spans="1:5" ht="14" x14ac:dyDescent="0.15">
      <c r="A41" s="11"/>
      <c r="B41" s="5"/>
      <c r="C41" s="8"/>
      <c r="D41" s="7"/>
      <c r="E41" s="12"/>
    </row>
    <row r="42" spans="1:5" x14ac:dyDescent="0.15">
      <c r="A42" s="14"/>
      <c r="B42" s="13"/>
      <c r="C42" s="13"/>
      <c r="D42" s="13"/>
      <c r="E42" s="15"/>
    </row>
    <row r="43" spans="1:5" x14ac:dyDescent="0.15">
      <c r="A43" s="14"/>
      <c r="B43" s="13"/>
      <c r="C43" s="13"/>
      <c r="D43" s="13"/>
      <c r="E43" s="15"/>
    </row>
    <row r="44" spans="1:5" ht="14" x14ac:dyDescent="0.15">
      <c r="A44" s="522" t="s">
        <v>74</v>
      </c>
      <c r="B44" s="523"/>
      <c r="C44" s="523"/>
      <c r="D44" s="523"/>
      <c r="E44" s="524"/>
    </row>
    <row r="45" spans="1:5" ht="14" x14ac:dyDescent="0.15">
      <c r="A45" s="522" t="s">
        <v>73</v>
      </c>
      <c r="B45" s="523"/>
      <c r="C45" s="523"/>
      <c r="D45" s="523"/>
      <c r="E45" s="524"/>
    </row>
    <row r="46" spans="1:5" ht="15" thickBot="1" x14ac:dyDescent="0.2">
      <c r="A46" s="531" t="s">
        <v>72</v>
      </c>
      <c r="B46" s="532"/>
      <c r="C46" s="532"/>
      <c r="D46" s="532"/>
      <c r="E46" s="533"/>
    </row>
    <row r="47" spans="1:5" ht="14" x14ac:dyDescent="0.15">
      <c r="A47" s="1"/>
      <c r="B47" s="1"/>
      <c r="C47" s="1"/>
      <c r="D47" s="1"/>
      <c r="E47" s="1"/>
    </row>
    <row r="48" spans="1:5" ht="14" x14ac:dyDescent="0.15">
      <c r="A48" s="525" t="s">
        <v>157</v>
      </c>
      <c r="B48" s="525"/>
      <c r="C48" s="525"/>
      <c r="D48" s="525"/>
      <c r="E48" s="525"/>
    </row>
    <row r="49" spans="1:5" ht="14" x14ac:dyDescent="0.15">
      <c r="A49" s="534" t="s">
        <v>75</v>
      </c>
      <c r="B49" s="534"/>
      <c r="C49" s="534"/>
      <c r="D49" s="534"/>
      <c r="E49" s="534"/>
    </row>
    <row r="50" spans="1:5" ht="14" x14ac:dyDescent="0.15">
      <c r="A50" s="525" t="s">
        <v>71</v>
      </c>
      <c r="B50" s="525"/>
      <c r="C50" s="525"/>
      <c r="D50" s="525"/>
      <c r="E50" s="525"/>
    </row>
  </sheetData>
  <mergeCells count="12">
    <mergeCell ref="A50:E50"/>
    <mergeCell ref="A4:E4"/>
    <mergeCell ref="A5:A6"/>
    <mergeCell ref="E5:E6"/>
    <mergeCell ref="A46:E46"/>
    <mergeCell ref="A48:E48"/>
    <mergeCell ref="A49:E49"/>
    <mergeCell ref="A2:E2"/>
    <mergeCell ref="A3:E3"/>
    <mergeCell ref="A1:E1"/>
    <mergeCell ref="A44:E44"/>
    <mergeCell ref="A45:E45"/>
  </mergeCells>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F53"/>
  <sheetViews>
    <sheetView zoomScale="140" zoomScaleNormal="140" workbookViewId="0">
      <pane ySplit="4" topLeftCell="A33" activePane="bottomLeft" state="frozen"/>
      <selection pane="bottomLeft" activeCell="J1" sqref="J1:L1"/>
    </sheetView>
  </sheetViews>
  <sheetFormatPr baseColWidth="10" defaultColWidth="8.796875" defaultRowHeight="14" x14ac:dyDescent="0.15"/>
  <cols>
    <col min="1" max="2" width="16" style="27" customWidth="1"/>
    <col min="3" max="3" width="16" style="52" customWidth="1"/>
    <col min="4" max="6" width="16" style="53" customWidth="1"/>
    <col min="7" max="8" width="16" style="52" customWidth="1"/>
    <col min="9" max="12" width="16" style="27" customWidth="1"/>
    <col min="13" max="13" width="9.59765625" style="27" customWidth="1"/>
    <col min="14" max="14" width="10" style="27" customWidth="1"/>
    <col min="15" max="15" width="12.3984375" style="27" customWidth="1"/>
    <col min="16" max="16384" width="8.796875" style="27"/>
  </cols>
  <sheetData>
    <row r="1" spans="1:32" ht="58.25" customHeight="1" thickBot="1" x14ac:dyDescent="0.2">
      <c r="A1" s="358"/>
      <c r="B1" s="358"/>
      <c r="C1" s="358"/>
      <c r="D1" s="358"/>
      <c r="E1" s="358"/>
      <c r="F1" s="358"/>
      <c r="G1" s="358"/>
      <c r="H1" s="26"/>
      <c r="J1" s="535"/>
      <c r="K1" s="535"/>
      <c r="L1" s="535"/>
      <c r="M1" s="28"/>
    </row>
    <row r="2" spans="1:32" ht="25.25" customHeight="1" x14ac:dyDescent="0.15">
      <c r="A2" s="362" t="s">
        <v>294</v>
      </c>
      <c r="B2" s="363"/>
      <c r="C2" s="363"/>
      <c r="D2" s="363"/>
      <c r="E2" s="363"/>
      <c r="F2" s="363"/>
      <c r="G2" s="363"/>
      <c r="H2" s="363"/>
      <c r="I2" s="363"/>
      <c r="J2" s="363"/>
      <c r="K2" s="363"/>
      <c r="L2" s="364"/>
    </row>
    <row r="3" spans="1:32" ht="40" customHeight="1" x14ac:dyDescent="0.15">
      <c r="A3" s="359" t="s">
        <v>235</v>
      </c>
      <c r="B3" s="329" t="s">
        <v>236</v>
      </c>
      <c r="C3" s="361" t="s">
        <v>242</v>
      </c>
      <c r="D3" s="361" t="s">
        <v>243</v>
      </c>
      <c r="E3" s="329" t="s">
        <v>278</v>
      </c>
      <c r="F3" s="330" t="s">
        <v>260</v>
      </c>
      <c r="G3" s="329" t="s">
        <v>279</v>
      </c>
      <c r="H3" s="365" t="s">
        <v>269</v>
      </c>
      <c r="I3" s="329" t="s">
        <v>263</v>
      </c>
      <c r="J3" s="329" t="s">
        <v>286</v>
      </c>
      <c r="K3" s="329" t="s">
        <v>283</v>
      </c>
      <c r="L3" s="360" t="s">
        <v>280</v>
      </c>
    </row>
    <row r="4" spans="1:32" ht="40" customHeight="1" x14ac:dyDescent="0.15">
      <c r="A4" s="359"/>
      <c r="B4" s="329"/>
      <c r="C4" s="361"/>
      <c r="D4" s="361"/>
      <c r="E4" s="329"/>
      <c r="F4" s="329"/>
      <c r="G4" s="329"/>
      <c r="H4" s="366"/>
      <c r="I4" s="329"/>
      <c r="J4" s="329"/>
      <c r="K4" s="353"/>
      <c r="L4" s="354"/>
    </row>
    <row r="5" spans="1:32" ht="14.25" customHeight="1" x14ac:dyDescent="0.15">
      <c r="A5" s="337" t="s">
        <v>237</v>
      </c>
      <c r="B5" s="338"/>
      <c r="C5" s="338"/>
      <c r="D5" s="338"/>
      <c r="E5" s="338"/>
      <c r="F5" s="338"/>
      <c r="G5" s="338"/>
      <c r="H5" s="338"/>
      <c r="I5" s="338"/>
      <c r="J5" s="338"/>
      <c r="K5" s="338"/>
      <c r="L5" s="339"/>
    </row>
    <row r="6" spans="1:32" ht="14.25" customHeight="1" x14ac:dyDescent="0.15">
      <c r="A6" s="29" t="s">
        <v>20</v>
      </c>
      <c r="B6" s="30" t="s">
        <v>21</v>
      </c>
      <c r="C6" s="54">
        <v>576.70000000000005</v>
      </c>
      <c r="D6" s="54">
        <f t="shared" ref="D6:D11" si="0">C6*3.412</f>
        <v>1967.7004000000002</v>
      </c>
      <c r="E6" s="31">
        <v>634.61849999999993</v>
      </c>
      <c r="F6" s="31">
        <v>149.50649999999999</v>
      </c>
      <c r="G6" s="31">
        <v>792.48899999999992</v>
      </c>
      <c r="H6" s="31">
        <v>930.49499999999989</v>
      </c>
      <c r="I6" s="32">
        <v>964.99649999999997</v>
      </c>
      <c r="J6" s="32">
        <v>1175.3511000000001</v>
      </c>
      <c r="K6" s="32">
        <v>1548.1763999999998</v>
      </c>
      <c r="L6" s="33">
        <v>2286.7199999999998</v>
      </c>
      <c r="M6" s="34"/>
      <c r="N6" s="34"/>
      <c r="O6" s="34"/>
      <c r="P6" s="34"/>
      <c r="Q6" s="34"/>
      <c r="R6" s="34"/>
      <c r="S6" s="34"/>
      <c r="T6" s="34"/>
      <c r="U6" s="34"/>
      <c r="V6" s="34"/>
      <c r="W6" s="34"/>
      <c r="X6" s="34"/>
      <c r="Y6" s="34"/>
      <c r="Z6" s="34"/>
      <c r="AA6" s="34"/>
      <c r="AB6" s="34"/>
      <c r="AC6" s="34"/>
      <c r="AD6" s="34"/>
      <c r="AE6" s="34"/>
      <c r="AF6" s="34"/>
    </row>
    <row r="7" spans="1:32" ht="15" customHeight="1" x14ac:dyDescent="0.15">
      <c r="A7" s="35" t="s">
        <v>22</v>
      </c>
      <c r="B7" s="36" t="s">
        <v>23</v>
      </c>
      <c r="C7" s="54">
        <v>1086.25</v>
      </c>
      <c r="D7" s="54">
        <f t="shared" si="0"/>
        <v>3706.2849999999999</v>
      </c>
      <c r="E7" s="37">
        <v>900.17549999999994</v>
      </c>
      <c r="F7" s="37">
        <v>180.8715</v>
      </c>
      <c r="G7" s="37">
        <v>1126.0035</v>
      </c>
      <c r="H7" s="37">
        <v>1264.0094999999999</v>
      </c>
      <c r="I7" s="38">
        <v>1369.6049999999998</v>
      </c>
      <c r="J7" s="38">
        <v>1542.2170500000002</v>
      </c>
      <c r="K7" s="38">
        <v>2199.3137999999999</v>
      </c>
      <c r="L7" s="39">
        <v>3250.08</v>
      </c>
      <c r="M7" s="34"/>
      <c r="N7" s="34"/>
      <c r="O7" s="34"/>
      <c r="P7" s="34"/>
      <c r="Q7" s="34"/>
      <c r="R7" s="34"/>
      <c r="S7" s="34"/>
      <c r="T7" s="34"/>
      <c r="U7" s="34"/>
      <c r="V7" s="34"/>
      <c r="W7" s="34"/>
      <c r="X7" s="34"/>
      <c r="Y7" s="34"/>
      <c r="Z7" s="34"/>
      <c r="AA7" s="34"/>
      <c r="AB7" s="34"/>
      <c r="AC7" s="34"/>
      <c r="AD7" s="34"/>
      <c r="AE7" s="34"/>
      <c r="AF7" s="34"/>
    </row>
    <row r="8" spans="1:32" ht="15" customHeight="1" x14ac:dyDescent="0.15">
      <c r="A8" s="29" t="s">
        <v>24</v>
      </c>
      <c r="B8" s="30" t="s">
        <v>25</v>
      </c>
      <c r="C8" s="54">
        <v>1753.8000000000002</v>
      </c>
      <c r="D8" s="54">
        <f t="shared" si="0"/>
        <v>5983.9656000000004</v>
      </c>
      <c r="E8" s="31">
        <v>1204.4159999999999</v>
      </c>
      <c r="F8" s="31">
        <v>210.14549999999997</v>
      </c>
      <c r="G8" s="31">
        <v>1504.4745</v>
      </c>
      <c r="H8" s="31">
        <v>1642.4804999999999</v>
      </c>
      <c r="I8" s="32">
        <v>1830.6704999999999</v>
      </c>
      <c r="J8" s="32">
        <v>2172.44445</v>
      </c>
      <c r="K8" s="32">
        <v>2937.0185999999994</v>
      </c>
      <c r="L8" s="33">
        <v>4341.5999999999995</v>
      </c>
      <c r="M8" s="34"/>
      <c r="N8" s="34"/>
      <c r="O8" s="34"/>
      <c r="P8" s="34"/>
      <c r="Q8" s="34"/>
      <c r="R8" s="34"/>
      <c r="S8" s="34"/>
      <c r="T8" s="34"/>
      <c r="U8" s="34"/>
      <c r="V8" s="34"/>
      <c r="W8" s="34"/>
      <c r="X8" s="34"/>
      <c r="Y8" s="34"/>
      <c r="Z8" s="34"/>
      <c r="AA8" s="34"/>
      <c r="AB8" s="34"/>
      <c r="AC8" s="34"/>
      <c r="AD8" s="34"/>
      <c r="AE8" s="34"/>
      <c r="AF8" s="34"/>
    </row>
    <row r="9" spans="1:32" x14ac:dyDescent="0.15">
      <c r="A9" s="35" t="s">
        <v>26</v>
      </c>
      <c r="B9" s="36" t="s">
        <v>27</v>
      </c>
      <c r="C9" s="54">
        <v>1057.81</v>
      </c>
      <c r="D9" s="54">
        <f t="shared" si="0"/>
        <v>3609.2477199999998</v>
      </c>
      <c r="E9" s="37">
        <v>851.03699999999992</v>
      </c>
      <c r="F9" s="37">
        <v>149.50649999999999</v>
      </c>
      <c r="G9" s="37">
        <v>1064.3189999999997</v>
      </c>
      <c r="H9" s="37">
        <v>1202.325</v>
      </c>
      <c r="I9" s="38">
        <v>1294.3289999999997</v>
      </c>
      <c r="J9" s="38">
        <v>1582.4688000000001</v>
      </c>
      <c r="K9" s="38">
        <v>2077.6176</v>
      </c>
      <c r="L9" s="39">
        <v>3071.52</v>
      </c>
      <c r="M9" s="34"/>
      <c r="N9" s="34"/>
      <c r="O9" s="34"/>
      <c r="P9" s="34"/>
      <c r="Q9" s="34"/>
      <c r="R9" s="34"/>
      <c r="S9" s="34"/>
      <c r="T9" s="34"/>
      <c r="U9" s="34"/>
      <c r="V9" s="34"/>
      <c r="W9" s="34"/>
      <c r="X9" s="34"/>
      <c r="Y9" s="34"/>
      <c r="Z9" s="34"/>
      <c r="AA9" s="34"/>
      <c r="AB9" s="34"/>
      <c r="AC9" s="34"/>
      <c r="AD9" s="34"/>
      <c r="AE9" s="34"/>
      <c r="AF9" s="34"/>
    </row>
    <row r="10" spans="1:32" x14ac:dyDescent="0.15">
      <c r="A10" s="29" t="s">
        <v>28</v>
      </c>
      <c r="B10" s="30" t="s">
        <v>29</v>
      </c>
      <c r="C10" s="54">
        <v>2036.6200000000001</v>
      </c>
      <c r="D10" s="54">
        <f t="shared" si="0"/>
        <v>6948.9474399999999</v>
      </c>
      <c r="E10" s="31">
        <v>1129.1400000000001</v>
      </c>
      <c r="F10" s="31">
        <v>180.8715</v>
      </c>
      <c r="G10" s="31">
        <v>1410.3795</v>
      </c>
      <c r="H10" s="31">
        <v>1548.3854999999999</v>
      </c>
      <c r="I10" s="32">
        <v>1715.6654999999998</v>
      </c>
      <c r="J10" s="32">
        <v>2045.93895</v>
      </c>
      <c r="K10" s="32">
        <v>2755.1015999999995</v>
      </c>
      <c r="L10" s="33">
        <v>4070.88</v>
      </c>
      <c r="M10" s="34"/>
      <c r="N10" s="34"/>
      <c r="O10" s="34"/>
      <c r="P10" s="34"/>
      <c r="Q10" s="34"/>
      <c r="R10" s="34"/>
      <c r="S10" s="34"/>
      <c r="T10" s="34"/>
      <c r="U10" s="34"/>
      <c r="V10" s="34"/>
      <c r="W10" s="34"/>
      <c r="X10" s="34"/>
      <c r="Y10" s="34"/>
      <c r="Z10" s="34"/>
      <c r="AA10" s="34"/>
      <c r="AB10" s="34"/>
      <c r="AC10" s="34"/>
      <c r="AD10" s="34"/>
      <c r="AE10" s="34"/>
      <c r="AF10" s="34"/>
    </row>
    <row r="11" spans="1:32" ht="13.25" customHeight="1" thickBot="1" x14ac:dyDescent="0.2">
      <c r="A11" s="40" t="s">
        <v>30</v>
      </c>
      <c r="B11" s="41" t="s">
        <v>31</v>
      </c>
      <c r="C11" s="55">
        <v>3333.01</v>
      </c>
      <c r="D11" s="55">
        <f t="shared" si="0"/>
        <v>11372.23012</v>
      </c>
      <c r="E11" s="42">
        <v>1536.8849999999998</v>
      </c>
      <c r="F11" s="42">
        <v>210.14549999999997</v>
      </c>
      <c r="G11" s="42">
        <v>1920.5834999999997</v>
      </c>
      <c r="H11" s="42">
        <v>2058.5895</v>
      </c>
      <c r="I11" s="43">
        <v>2337.7379999999998</v>
      </c>
      <c r="J11" s="43">
        <v>2730.2186999999999</v>
      </c>
      <c r="K11" s="43">
        <v>3753.7631999999999</v>
      </c>
      <c r="L11" s="44">
        <v>5546.8799999999992</v>
      </c>
      <c r="M11" s="34"/>
      <c r="N11" s="34"/>
      <c r="O11" s="34"/>
      <c r="P11" s="34"/>
      <c r="Q11" s="34"/>
      <c r="R11" s="34"/>
      <c r="S11" s="34"/>
      <c r="T11" s="34"/>
      <c r="U11" s="34"/>
      <c r="V11" s="34"/>
      <c r="W11" s="34"/>
      <c r="X11" s="34"/>
      <c r="Y11" s="34"/>
      <c r="Z11" s="34"/>
      <c r="AA11" s="34"/>
      <c r="AB11" s="34"/>
      <c r="AC11" s="34"/>
      <c r="AD11" s="34"/>
      <c r="AE11" s="34"/>
      <c r="AF11" s="34"/>
    </row>
    <row r="12" spans="1:32" ht="13.25" customHeight="1" x14ac:dyDescent="0.15">
      <c r="A12" s="45"/>
      <c r="B12" s="46"/>
      <c r="C12" s="47"/>
      <c r="D12" s="47"/>
      <c r="E12" s="47"/>
      <c r="F12" s="47"/>
      <c r="G12" s="48"/>
      <c r="H12" s="48"/>
      <c r="I12" s="47"/>
      <c r="J12" s="47"/>
      <c r="K12" s="47"/>
      <c r="L12" s="47"/>
      <c r="M12" s="34"/>
      <c r="N12" s="34"/>
      <c r="O12" s="34"/>
      <c r="P12" s="34"/>
      <c r="Q12" s="34"/>
      <c r="R12" s="34"/>
      <c r="S12" s="34"/>
      <c r="T12" s="34"/>
      <c r="U12" s="34"/>
      <c r="V12" s="34"/>
      <c r="W12" s="34"/>
      <c r="X12" s="34"/>
      <c r="Y12" s="34"/>
      <c r="Z12" s="34"/>
      <c r="AA12" s="34"/>
      <c r="AB12" s="34"/>
      <c r="AC12" s="34"/>
      <c r="AD12" s="34"/>
      <c r="AE12" s="34"/>
      <c r="AF12" s="34"/>
    </row>
    <row r="13" spans="1:32" x14ac:dyDescent="0.15">
      <c r="A13" s="334" t="s">
        <v>238</v>
      </c>
      <c r="B13" s="335"/>
      <c r="C13" s="335"/>
      <c r="D13" s="335"/>
      <c r="E13" s="335"/>
      <c r="F13" s="335"/>
      <c r="G13" s="335"/>
      <c r="H13" s="335"/>
      <c r="I13" s="335"/>
      <c r="J13" s="335"/>
      <c r="K13" s="335"/>
      <c r="L13" s="336"/>
      <c r="M13" s="34"/>
      <c r="N13" s="34"/>
      <c r="O13" s="34"/>
      <c r="P13" s="34"/>
      <c r="Q13" s="34"/>
      <c r="R13" s="34"/>
      <c r="S13" s="34"/>
      <c r="T13" s="34"/>
      <c r="U13" s="34"/>
      <c r="V13" s="34"/>
      <c r="W13" s="34"/>
      <c r="X13" s="34"/>
      <c r="Y13" s="34"/>
      <c r="Z13" s="34"/>
      <c r="AA13" s="34"/>
      <c r="AB13" s="34"/>
      <c r="AC13" s="34"/>
      <c r="AD13" s="34"/>
      <c r="AE13" s="34"/>
      <c r="AF13" s="34"/>
    </row>
    <row r="14" spans="1:32" ht="15" customHeight="1" x14ac:dyDescent="0.15">
      <c r="A14" s="29" t="s">
        <v>32</v>
      </c>
      <c r="B14" s="30" t="s">
        <v>49</v>
      </c>
      <c r="C14" s="54">
        <v>549.05000000000007</v>
      </c>
      <c r="D14" s="54">
        <f>C14*3.412</f>
        <v>1873.3586000000003</v>
      </c>
      <c r="E14" s="31">
        <v>678.52949999999987</v>
      </c>
      <c r="F14" s="31">
        <v>99.322499999999991</v>
      </c>
      <c r="G14" s="31">
        <v>882.40199999999993</v>
      </c>
      <c r="H14" s="31">
        <v>1020.4079999999999</v>
      </c>
      <c r="I14" s="32">
        <v>1031.9085</v>
      </c>
      <c r="J14" s="32">
        <v>1293.8062500000001</v>
      </c>
      <c r="K14" s="32">
        <v>1657.3265999999999</v>
      </c>
      <c r="L14" s="33">
        <v>2447.5091474534402</v>
      </c>
      <c r="M14" s="34"/>
      <c r="N14" s="34"/>
      <c r="O14" s="34"/>
      <c r="P14" s="34"/>
      <c r="Q14" s="34"/>
      <c r="R14" s="34"/>
      <c r="S14" s="34"/>
      <c r="T14" s="34"/>
      <c r="U14" s="34"/>
      <c r="V14" s="34"/>
      <c r="W14" s="34"/>
      <c r="X14" s="34"/>
      <c r="Y14" s="34"/>
      <c r="Z14" s="34"/>
      <c r="AA14" s="34"/>
      <c r="AB14" s="34"/>
      <c r="AC14" s="34"/>
      <c r="AD14" s="34"/>
      <c r="AE14" s="34"/>
      <c r="AF14" s="34"/>
    </row>
    <row r="15" spans="1:32" x14ac:dyDescent="0.15">
      <c r="A15" s="35" t="s">
        <v>7</v>
      </c>
      <c r="B15" s="36" t="s">
        <v>11</v>
      </c>
      <c r="C15" s="54">
        <v>668.34</v>
      </c>
      <c r="D15" s="54">
        <f t="shared" ref="D15:D23" si="1">C15*3.412</f>
        <v>2280.37608</v>
      </c>
      <c r="E15" s="37">
        <v>739.16849999999999</v>
      </c>
      <c r="F15" s="37">
        <v>99.322499999999991</v>
      </c>
      <c r="G15" s="37">
        <v>960.81449999999995</v>
      </c>
      <c r="H15" s="37">
        <v>1098.8204999999998</v>
      </c>
      <c r="I15" s="38">
        <v>1124.9579999999999</v>
      </c>
      <c r="J15" s="38">
        <v>1396.1606999999999</v>
      </c>
      <c r="K15" s="38">
        <v>1802.8601999999998</v>
      </c>
      <c r="L15" s="39">
        <v>2664.5602120502404</v>
      </c>
      <c r="M15" s="34"/>
      <c r="N15" s="34"/>
      <c r="O15" s="34"/>
      <c r="P15" s="34"/>
      <c r="Q15" s="34"/>
      <c r="R15" s="34"/>
      <c r="S15" s="34"/>
      <c r="T15" s="34"/>
      <c r="U15" s="34"/>
      <c r="V15" s="34"/>
      <c r="W15" s="34"/>
      <c r="X15" s="34"/>
      <c r="Y15" s="34"/>
      <c r="Z15" s="34"/>
      <c r="AA15" s="34"/>
      <c r="AB15" s="34"/>
      <c r="AC15" s="34"/>
      <c r="AD15" s="34"/>
      <c r="AE15" s="34"/>
      <c r="AF15" s="34"/>
    </row>
    <row r="16" spans="1:32" x14ac:dyDescent="0.15">
      <c r="A16" s="29" t="s">
        <v>35</v>
      </c>
      <c r="B16" s="30" t="s">
        <v>52</v>
      </c>
      <c r="C16" s="54">
        <v>701.52</v>
      </c>
      <c r="D16" s="54">
        <f t="shared" si="1"/>
        <v>2393.5862400000001</v>
      </c>
      <c r="E16" s="31">
        <v>784.12499999999989</v>
      </c>
      <c r="F16" s="31">
        <v>128.59649999999999</v>
      </c>
      <c r="G16" s="31">
        <v>1021.4535</v>
      </c>
      <c r="H16" s="31">
        <v>1159.4594999999999</v>
      </c>
      <c r="I16" s="32">
        <v>1193.961</v>
      </c>
      <c r="J16" s="32">
        <v>1472.0640000000001</v>
      </c>
      <c r="K16" s="32">
        <v>1918.2833999999998</v>
      </c>
      <c r="L16" s="33">
        <v>2834.0667577353606</v>
      </c>
      <c r="M16" s="34"/>
      <c r="N16" s="34"/>
      <c r="O16" s="34"/>
      <c r="P16" s="34"/>
      <c r="Q16" s="34"/>
      <c r="R16" s="34"/>
      <c r="S16" s="34"/>
      <c r="T16" s="34"/>
      <c r="U16" s="34"/>
      <c r="V16" s="34"/>
      <c r="W16" s="34"/>
      <c r="X16" s="34"/>
      <c r="Y16" s="34"/>
      <c r="Z16" s="34"/>
      <c r="AA16" s="34"/>
      <c r="AB16" s="34"/>
      <c r="AC16" s="34"/>
      <c r="AD16" s="34"/>
      <c r="AE16" s="34"/>
      <c r="AF16" s="34"/>
    </row>
    <row r="17" spans="1:32" x14ac:dyDescent="0.15">
      <c r="A17" s="35" t="s">
        <v>37</v>
      </c>
      <c r="B17" s="36" t="s">
        <v>54</v>
      </c>
      <c r="C17" s="54">
        <v>1098.1000000000001</v>
      </c>
      <c r="D17" s="54">
        <f t="shared" si="1"/>
        <v>3746.7172000000005</v>
      </c>
      <c r="E17" s="37">
        <v>966.04199999999992</v>
      </c>
      <c r="F17" s="37">
        <v>128.59649999999999</v>
      </c>
      <c r="G17" s="37">
        <v>1255.6454999999999</v>
      </c>
      <c r="H17" s="37">
        <v>1394.6969999999999</v>
      </c>
      <c r="I17" s="38">
        <v>1468.9274999999998</v>
      </c>
      <c r="J17" s="38">
        <v>1774.5271499999999</v>
      </c>
      <c r="K17" s="38">
        <v>2359.9025999999999</v>
      </c>
      <c r="L17" s="39">
        <v>3487.2871045219213</v>
      </c>
      <c r="M17" s="34"/>
      <c r="N17" s="34"/>
      <c r="O17" s="34"/>
      <c r="P17" s="34"/>
      <c r="Q17" s="34"/>
      <c r="R17" s="34"/>
      <c r="S17" s="34"/>
      <c r="T17" s="34"/>
      <c r="U17" s="34"/>
      <c r="V17" s="34"/>
      <c r="W17" s="34"/>
      <c r="X17" s="34"/>
      <c r="Y17" s="34"/>
      <c r="Z17" s="34"/>
      <c r="AA17" s="34"/>
      <c r="AB17" s="34"/>
      <c r="AC17" s="34"/>
      <c r="AD17" s="34"/>
      <c r="AE17" s="34"/>
      <c r="AF17" s="34"/>
    </row>
    <row r="18" spans="1:32" x14ac:dyDescent="0.15">
      <c r="A18" s="29" t="s">
        <v>8</v>
      </c>
      <c r="B18" s="30" t="s">
        <v>12</v>
      </c>
      <c r="C18" s="54">
        <v>1335.89</v>
      </c>
      <c r="D18" s="54">
        <f t="shared" si="1"/>
        <v>4558.0566800000006</v>
      </c>
      <c r="E18" s="31">
        <v>1075.8194999999998</v>
      </c>
      <c r="F18" s="31">
        <v>128.59649999999999</v>
      </c>
      <c r="G18" s="31">
        <v>1398.8789999999999</v>
      </c>
      <c r="H18" s="31">
        <v>1536.8849999999998</v>
      </c>
      <c r="I18" s="32">
        <v>1636.2074999999998</v>
      </c>
      <c r="J18" s="32">
        <v>1958.5351499999999</v>
      </c>
      <c r="K18" s="32">
        <v>2630.8961999999997</v>
      </c>
      <c r="L18" s="33">
        <v>3886.2476327808008</v>
      </c>
      <c r="M18" s="34"/>
      <c r="N18" s="34"/>
      <c r="O18" s="34"/>
      <c r="P18" s="34"/>
      <c r="Q18" s="34"/>
      <c r="R18" s="34"/>
      <c r="S18" s="34"/>
      <c r="T18" s="34"/>
      <c r="U18" s="34"/>
      <c r="V18" s="34"/>
      <c r="W18" s="34"/>
      <c r="X18" s="34"/>
      <c r="Y18" s="34"/>
      <c r="Z18" s="34"/>
      <c r="AA18" s="34"/>
      <c r="AB18" s="34"/>
      <c r="AC18" s="34"/>
      <c r="AD18" s="34"/>
      <c r="AE18" s="34"/>
      <c r="AF18" s="34"/>
    </row>
    <row r="19" spans="1:32" ht="12.75" customHeight="1" x14ac:dyDescent="0.15">
      <c r="A19" s="35" t="s">
        <v>40</v>
      </c>
      <c r="B19" s="36" t="s">
        <v>57</v>
      </c>
      <c r="C19" s="54">
        <v>1098.1000000000001</v>
      </c>
      <c r="D19" s="54">
        <f t="shared" si="1"/>
        <v>3746.7172000000005</v>
      </c>
      <c r="E19" s="37">
        <v>791.44349999999997</v>
      </c>
      <c r="F19" s="37">
        <v>99.322499999999991</v>
      </c>
      <c r="G19" s="37">
        <v>1027.7265</v>
      </c>
      <c r="H19" s="37">
        <v>1166.7779999999998</v>
      </c>
      <c r="I19" s="38">
        <v>1203.3705</v>
      </c>
      <c r="J19" s="38">
        <v>1482.4144500000002</v>
      </c>
      <c r="K19" s="38">
        <v>1933.3385999999998</v>
      </c>
      <c r="L19" s="39">
        <v>2856.805440693121</v>
      </c>
      <c r="M19" s="34"/>
      <c r="N19" s="34"/>
      <c r="O19" s="34"/>
      <c r="P19" s="34"/>
      <c r="Q19" s="34"/>
      <c r="R19" s="34"/>
      <c r="S19" s="34"/>
      <c r="T19" s="34"/>
      <c r="U19" s="34"/>
      <c r="V19" s="34"/>
      <c r="W19" s="34"/>
      <c r="X19" s="34"/>
      <c r="Y19" s="34"/>
      <c r="Z19" s="34"/>
      <c r="AA19" s="34"/>
      <c r="AB19" s="34"/>
      <c r="AC19" s="34"/>
      <c r="AD19" s="34"/>
      <c r="AE19" s="34"/>
      <c r="AF19" s="34"/>
    </row>
    <row r="20" spans="1:32" ht="14.25" customHeight="1" x14ac:dyDescent="0.15">
      <c r="A20" s="29" t="s">
        <v>9</v>
      </c>
      <c r="B20" s="30" t="s">
        <v>13</v>
      </c>
      <c r="C20" s="54">
        <v>1335.89</v>
      </c>
      <c r="D20" s="54">
        <f t="shared" si="1"/>
        <v>4558.0566800000006</v>
      </c>
      <c r="E20" s="31">
        <v>868.81050000000005</v>
      </c>
      <c r="F20" s="31">
        <v>99.322499999999991</v>
      </c>
      <c r="G20" s="31">
        <v>1128.0944999999999</v>
      </c>
      <c r="H20" s="31">
        <v>1267.146</v>
      </c>
      <c r="I20" s="32">
        <v>1319.421</v>
      </c>
      <c r="J20" s="32">
        <v>1610.07</v>
      </c>
      <c r="K20" s="32">
        <v>2120.2739999999994</v>
      </c>
      <c r="L20" s="33">
        <v>3133.8039421785597</v>
      </c>
      <c r="M20" s="34"/>
      <c r="N20" s="34"/>
      <c r="O20" s="34"/>
      <c r="P20" s="34"/>
      <c r="Q20" s="34"/>
      <c r="R20" s="34"/>
      <c r="S20" s="34"/>
      <c r="T20" s="34"/>
      <c r="U20" s="34"/>
      <c r="V20" s="34"/>
      <c r="W20" s="34"/>
      <c r="X20" s="34"/>
      <c r="Y20" s="34"/>
      <c r="Z20" s="34"/>
      <c r="AA20" s="34"/>
      <c r="AB20" s="34"/>
      <c r="AC20" s="34"/>
      <c r="AD20" s="34"/>
      <c r="AE20" s="34"/>
      <c r="AF20" s="34"/>
    </row>
    <row r="21" spans="1:32" x14ac:dyDescent="0.15">
      <c r="A21" s="35" t="s">
        <v>43</v>
      </c>
      <c r="B21" s="36" t="s">
        <v>59</v>
      </c>
      <c r="C21" s="54">
        <v>1227.6600000000001</v>
      </c>
      <c r="D21" s="54">
        <f t="shared" si="1"/>
        <v>4188.77592</v>
      </c>
      <c r="E21" s="37">
        <v>911.67599999999993</v>
      </c>
      <c r="F21" s="37">
        <v>128.59649999999999</v>
      </c>
      <c r="G21" s="37">
        <v>1186.6424999999999</v>
      </c>
      <c r="H21" s="37">
        <v>1324.6485</v>
      </c>
      <c r="I21" s="38">
        <v>1387.3785</v>
      </c>
      <c r="J21" s="38">
        <v>1684.8232499999999</v>
      </c>
      <c r="K21" s="38">
        <v>2228.1695999999997</v>
      </c>
      <c r="L21" s="39">
        <v>3290.9075698867205</v>
      </c>
      <c r="M21" s="34"/>
      <c r="N21" s="34"/>
      <c r="O21" s="34"/>
      <c r="P21" s="34"/>
      <c r="Q21" s="34"/>
      <c r="R21" s="34"/>
      <c r="S21" s="34"/>
      <c r="T21" s="34"/>
      <c r="U21" s="34"/>
      <c r="V21" s="34"/>
      <c r="W21" s="34"/>
      <c r="X21" s="34"/>
      <c r="Y21" s="34"/>
      <c r="Z21" s="34"/>
      <c r="AA21" s="34"/>
      <c r="AB21" s="34"/>
      <c r="AC21" s="34"/>
      <c r="AD21" s="34"/>
      <c r="AE21" s="34"/>
      <c r="AF21" s="34"/>
    </row>
    <row r="22" spans="1:32" x14ac:dyDescent="0.15">
      <c r="A22" s="29" t="s">
        <v>45</v>
      </c>
      <c r="B22" s="30" t="s">
        <v>61</v>
      </c>
      <c r="C22" s="54">
        <v>1921</v>
      </c>
      <c r="D22" s="54">
        <f t="shared" si="1"/>
        <v>6554.4520000000002</v>
      </c>
      <c r="E22" s="31">
        <v>1136.4585</v>
      </c>
      <c r="F22" s="31">
        <v>128.59649999999999</v>
      </c>
      <c r="G22" s="31">
        <v>1477.2914999999998</v>
      </c>
      <c r="H22" s="31">
        <v>1616.3429999999998</v>
      </c>
      <c r="I22" s="32">
        <v>1727.1659999999999</v>
      </c>
      <c r="J22" s="32">
        <v>2058.5895</v>
      </c>
      <c r="K22" s="32">
        <v>2772.6659999999997</v>
      </c>
      <c r="L22" s="33">
        <v>4099.1643913852795</v>
      </c>
      <c r="M22" s="34"/>
      <c r="N22" s="34"/>
      <c r="O22" s="34"/>
      <c r="P22" s="34"/>
      <c r="Q22" s="34"/>
      <c r="R22" s="34"/>
      <c r="S22" s="34"/>
      <c r="T22" s="34"/>
      <c r="U22" s="34"/>
      <c r="V22" s="34"/>
      <c r="W22" s="34"/>
      <c r="X22" s="34"/>
      <c r="Y22" s="34"/>
      <c r="Z22" s="34"/>
      <c r="AA22" s="34"/>
      <c r="AB22" s="34"/>
      <c r="AC22" s="34"/>
      <c r="AD22" s="34"/>
      <c r="AE22" s="34"/>
      <c r="AF22" s="34"/>
    </row>
    <row r="23" spans="1:32" ht="12.75" customHeight="1" thickBot="1" x14ac:dyDescent="0.2">
      <c r="A23" s="40" t="s">
        <v>10</v>
      </c>
      <c r="B23" s="41" t="s">
        <v>14</v>
      </c>
      <c r="C23" s="55">
        <v>2337.61</v>
      </c>
      <c r="D23" s="55">
        <f t="shared" si="1"/>
        <v>7975.9253200000003</v>
      </c>
      <c r="E23" s="42">
        <v>1270.2825</v>
      </c>
      <c r="F23" s="42">
        <v>128.59649999999999</v>
      </c>
      <c r="G23" s="42">
        <v>1652.9354999999998</v>
      </c>
      <c r="H23" s="42">
        <v>1790.9414999999999</v>
      </c>
      <c r="I23" s="43">
        <v>1931.0384999999997</v>
      </c>
      <c r="J23" s="43">
        <v>2282.8492499999998</v>
      </c>
      <c r="K23" s="43">
        <v>3100.1165999999994</v>
      </c>
      <c r="L23" s="44">
        <v>4580.8110394905607</v>
      </c>
      <c r="M23" s="34"/>
      <c r="N23" s="34"/>
      <c r="O23" s="34"/>
      <c r="P23" s="34"/>
      <c r="Q23" s="34"/>
      <c r="R23" s="34"/>
      <c r="S23" s="34"/>
      <c r="T23" s="34"/>
      <c r="U23" s="34"/>
      <c r="V23" s="34"/>
      <c r="W23" s="34"/>
      <c r="X23" s="34"/>
      <c r="Y23" s="34"/>
      <c r="Z23" s="34"/>
      <c r="AA23" s="34"/>
      <c r="AB23" s="34"/>
      <c r="AC23" s="34"/>
      <c r="AD23" s="34"/>
      <c r="AE23" s="34"/>
      <c r="AF23" s="34"/>
    </row>
    <row r="24" spans="1:32" ht="12.75" customHeight="1" x14ac:dyDescent="0.15">
      <c r="A24" s="45"/>
      <c r="B24" s="46"/>
      <c r="C24" s="47"/>
      <c r="D24" s="47"/>
      <c r="E24" s="47"/>
      <c r="F24" s="47"/>
      <c r="G24" s="48"/>
      <c r="H24" s="48"/>
      <c r="I24" s="47"/>
      <c r="J24" s="47"/>
      <c r="K24" s="47"/>
      <c r="L24" s="47"/>
      <c r="M24" s="34"/>
      <c r="N24" s="34"/>
      <c r="O24" s="34"/>
      <c r="P24" s="34"/>
      <c r="Q24" s="34"/>
      <c r="R24" s="34"/>
      <c r="S24" s="34"/>
      <c r="T24" s="34"/>
      <c r="U24" s="34"/>
      <c r="V24" s="34"/>
      <c r="W24" s="34"/>
      <c r="X24" s="34"/>
      <c r="Y24" s="34"/>
      <c r="Z24" s="34"/>
      <c r="AA24" s="34"/>
      <c r="AB24" s="34"/>
      <c r="AC24" s="34"/>
      <c r="AD24" s="34"/>
      <c r="AE24" s="34"/>
      <c r="AF24" s="34"/>
    </row>
    <row r="25" spans="1:32" x14ac:dyDescent="0.15">
      <c r="A25" s="334" t="s">
        <v>239</v>
      </c>
      <c r="B25" s="335"/>
      <c r="C25" s="335"/>
      <c r="D25" s="335"/>
      <c r="E25" s="335"/>
      <c r="F25" s="335"/>
      <c r="G25" s="335"/>
      <c r="H25" s="335"/>
      <c r="I25" s="335"/>
      <c r="J25" s="335"/>
      <c r="K25" s="335"/>
      <c r="L25" s="336"/>
      <c r="M25" s="34"/>
      <c r="N25" s="34"/>
      <c r="O25" s="34"/>
      <c r="P25" s="34"/>
      <c r="Q25" s="34"/>
      <c r="R25" s="34"/>
      <c r="S25" s="34"/>
      <c r="T25" s="34"/>
      <c r="U25" s="34"/>
      <c r="V25" s="34"/>
      <c r="W25" s="34"/>
      <c r="X25" s="34"/>
      <c r="Y25" s="34"/>
      <c r="Z25" s="34"/>
      <c r="AA25" s="34"/>
      <c r="AB25" s="34"/>
      <c r="AC25" s="34"/>
      <c r="AD25" s="34"/>
      <c r="AE25" s="34"/>
      <c r="AF25" s="34"/>
    </row>
    <row r="26" spans="1:32" x14ac:dyDescent="0.15">
      <c r="A26" s="29" t="s">
        <v>48</v>
      </c>
      <c r="B26" s="30" t="s">
        <v>33</v>
      </c>
      <c r="C26" s="54">
        <v>371.94780000000003</v>
      </c>
      <c r="D26" s="54">
        <f>C26*3.412</f>
        <v>1269.0858936</v>
      </c>
      <c r="E26" s="31">
        <v>841.62749999999994</v>
      </c>
      <c r="F26" s="31">
        <v>284.37599999999998</v>
      </c>
      <c r="G26" s="31">
        <v>1050.7275</v>
      </c>
      <c r="H26" s="31">
        <v>1189.7789999999998</v>
      </c>
      <c r="I26" s="32">
        <v>1279.692</v>
      </c>
      <c r="J26" s="32">
        <v>1566.3681000000001</v>
      </c>
      <c r="K26" s="32">
        <v>2055.0347999999994</v>
      </c>
      <c r="L26" s="33">
        <v>3036.6477513590403</v>
      </c>
      <c r="M26" s="34"/>
      <c r="N26" s="34"/>
      <c r="O26" s="34"/>
      <c r="P26" s="34"/>
      <c r="Q26" s="34"/>
      <c r="R26" s="34"/>
      <c r="S26" s="34"/>
      <c r="T26" s="34"/>
      <c r="U26" s="34"/>
      <c r="V26" s="34"/>
      <c r="W26" s="34"/>
      <c r="X26" s="34"/>
      <c r="Y26" s="34"/>
      <c r="Z26" s="34"/>
      <c r="AA26" s="34"/>
      <c r="AB26" s="34"/>
      <c r="AC26" s="34"/>
      <c r="AD26" s="34"/>
      <c r="AE26" s="34"/>
      <c r="AF26" s="34"/>
    </row>
    <row r="27" spans="1:32" x14ac:dyDescent="0.15">
      <c r="A27" s="35" t="s">
        <v>50</v>
      </c>
      <c r="B27" s="36" t="s">
        <v>34</v>
      </c>
      <c r="C27" s="54">
        <v>520.16759999999999</v>
      </c>
      <c r="D27" s="54">
        <f t="shared" ref="D27:D41" si="2">C27*3.412</f>
        <v>1774.8118511999999</v>
      </c>
      <c r="E27" s="37">
        <v>1027.7265</v>
      </c>
      <c r="F27" s="37">
        <v>360.69749999999993</v>
      </c>
      <c r="G27" s="37">
        <v>1284.9195</v>
      </c>
      <c r="H27" s="37">
        <v>1422.9254999999998</v>
      </c>
      <c r="I27" s="38">
        <v>1563.0224999999998</v>
      </c>
      <c r="J27" s="38">
        <v>1878.0316499999999</v>
      </c>
      <c r="K27" s="38">
        <v>2507.9453999999996</v>
      </c>
      <c r="L27" s="39">
        <v>3706.4053221148797</v>
      </c>
      <c r="M27" s="34"/>
      <c r="N27" s="34"/>
      <c r="O27" s="34"/>
      <c r="P27" s="34"/>
      <c r="Q27" s="34"/>
      <c r="R27" s="34"/>
      <c r="S27" s="34"/>
      <c r="T27" s="34"/>
      <c r="U27" s="34"/>
      <c r="V27" s="34"/>
      <c r="W27" s="34"/>
      <c r="X27" s="34"/>
      <c r="Y27" s="34"/>
      <c r="Z27" s="34"/>
      <c r="AA27" s="34"/>
      <c r="AB27" s="34"/>
      <c r="AC27" s="34"/>
      <c r="AD27" s="34"/>
      <c r="AE27" s="34"/>
      <c r="AF27" s="34"/>
    </row>
    <row r="28" spans="1:32" x14ac:dyDescent="0.15">
      <c r="A28" s="29" t="s">
        <v>51</v>
      </c>
      <c r="B28" s="30" t="s">
        <v>36</v>
      </c>
      <c r="C28" s="54">
        <v>624.57399999999996</v>
      </c>
      <c r="D28" s="54">
        <f t="shared" si="2"/>
        <v>2131.046488</v>
      </c>
      <c r="E28" s="31">
        <v>776.80649999999991</v>
      </c>
      <c r="F28" s="31">
        <v>210.14549999999997</v>
      </c>
      <c r="G28" s="31">
        <v>970.22399999999993</v>
      </c>
      <c r="H28" s="31">
        <v>1108.23</v>
      </c>
      <c r="I28" s="32">
        <v>1180.3695</v>
      </c>
      <c r="J28" s="32">
        <v>1457.1133500000001</v>
      </c>
      <c r="K28" s="32">
        <v>1898.2097999999996</v>
      </c>
      <c r="L28" s="33">
        <v>2805.1266157891205</v>
      </c>
      <c r="M28" s="34"/>
      <c r="N28" s="34"/>
      <c r="O28" s="34"/>
      <c r="P28" s="34"/>
      <c r="Q28" s="34"/>
      <c r="R28" s="34"/>
      <c r="S28" s="34"/>
      <c r="T28" s="34"/>
      <c r="U28" s="34"/>
      <c r="V28" s="34"/>
      <c r="W28" s="34"/>
      <c r="X28" s="34"/>
      <c r="Y28" s="34"/>
      <c r="Z28" s="34"/>
      <c r="AA28" s="34"/>
      <c r="AB28" s="34"/>
      <c r="AC28" s="34"/>
      <c r="AD28" s="34"/>
      <c r="AE28" s="34"/>
      <c r="AF28" s="34"/>
    </row>
    <row r="29" spans="1:32" x14ac:dyDescent="0.15">
      <c r="A29" s="35" t="s">
        <v>53</v>
      </c>
      <c r="B29" s="36" t="s">
        <v>38</v>
      </c>
      <c r="C29" s="54">
        <v>936.86099999999999</v>
      </c>
      <c r="D29" s="54">
        <f t="shared" si="2"/>
        <v>3196.5697319999999</v>
      </c>
      <c r="E29" s="37">
        <v>1059.0914999999998</v>
      </c>
      <c r="F29" s="37">
        <v>284.37599999999998</v>
      </c>
      <c r="G29" s="37">
        <v>1322.5575000000001</v>
      </c>
      <c r="H29" s="37">
        <v>1461.6089999999999</v>
      </c>
      <c r="I29" s="38">
        <v>1610.0699999999997</v>
      </c>
      <c r="J29" s="38">
        <v>1929.7839000000001</v>
      </c>
      <c r="K29" s="38">
        <v>2586.9851999999996</v>
      </c>
      <c r="L29" s="39">
        <v>3822.1658898998403</v>
      </c>
      <c r="M29" s="34"/>
      <c r="N29" s="34"/>
      <c r="O29" s="34"/>
      <c r="P29" s="34"/>
      <c r="Q29" s="34"/>
      <c r="R29" s="34"/>
      <c r="S29" s="34"/>
      <c r="T29" s="34"/>
      <c r="U29" s="34"/>
      <c r="V29" s="34"/>
      <c r="W29" s="34"/>
      <c r="X29" s="34"/>
      <c r="Y29" s="34"/>
      <c r="Z29" s="34"/>
      <c r="AA29" s="34"/>
      <c r="AB29" s="34"/>
      <c r="AC29" s="34"/>
      <c r="AD29" s="34"/>
      <c r="AE29" s="34"/>
      <c r="AF29" s="34"/>
    </row>
    <row r="30" spans="1:32" x14ac:dyDescent="0.15">
      <c r="A30" s="29" t="s">
        <v>55</v>
      </c>
      <c r="B30" s="30" t="s">
        <v>39</v>
      </c>
      <c r="C30" s="54">
        <v>1311.6054000000001</v>
      </c>
      <c r="D30" s="54">
        <f t="shared" si="2"/>
        <v>4475.1976248000001</v>
      </c>
      <c r="E30" s="31">
        <v>1316.2845</v>
      </c>
      <c r="F30" s="31">
        <v>360.69749999999993</v>
      </c>
      <c r="G30" s="31">
        <v>1645.617</v>
      </c>
      <c r="H30" s="31">
        <v>1783.6229999999998</v>
      </c>
      <c r="I30" s="32">
        <v>2002.1324999999997</v>
      </c>
      <c r="J30" s="32">
        <v>2361.0526500000001</v>
      </c>
      <c r="K30" s="32">
        <v>3214.2851999999998</v>
      </c>
      <c r="L30" s="33">
        <v>4750.3175851756814</v>
      </c>
      <c r="M30" s="34"/>
      <c r="N30" s="34"/>
      <c r="O30" s="34"/>
      <c r="P30" s="34"/>
      <c r="Q30" s="34"/>
      <c r="R30" s="34"/>
      <c r="S30" s="34"/>
      <c r="T30" s="34"/>
      <c r="U30" s="34"/>
      <c r="V30" s="34"/>
      <c r="W30" s="34"/>
      <c r="X30" s="34"/>
      <c r="Y30" s="34"/>
      <c r="Z30" s="34"/>
      <c r="AA30" s="34"/>
      <c r="AB30" s="34"/>
      <c r="AC30" s="34"/>
      <c r="AD30" s="34"/>
      <c r="AE30" s="34"/>
      <c r="AF30" s="34"/>
    </row>
    <row r="31" spans="1:32" x14ac:dyDescent="0.15">
      <c r="A31" s="35" t="s">
        <v>56</v>
      </c>
      <c r="B31" s="36" t="s">
        <v>41</v>
      </c>
      <c r="C31" s="54">
        <v>718.72620000000006</v>
      </c>
      <c r="D31" s="54">
        <f t="shared" si="2"/>
        <v>2452.2937944</v>
      </c>
      <c r="E31" s="37">
        <v>1092.5475000000001</v>
      </c>
      <c r="F31" s="37">
        <v>284.37599999999998</v>
      </c>
      <c r="G31" s="37">
        <v>1365.4229999999998</v>
      </c>
      <c r="H31" s="37">
        <v>1503.4289999999999</v>
      </c>
      <c r="I31" s="38">
        <v>1662.3449999999998</v>
      </c>
      <c r="J31" s="38">
        <v>1987.2864</v>
      </c>
      <c r="K31" s="38">
        <v>2667.2795999999994</v>
      </c>
      <c r="L31" s="39">
        <v>3942.0607636771201</v>
      </c>
      <c r="M31" s="34"/>
      <c r="N31" s="34"/>
      <c r="O31" s="34"/>
      <c r="P31" s="34"/>
      <c r="Q31" s="34"/>
      <c r="R31" s="34"/>
      <c r="S31" s="34"/>
      <c r="T31" s="34"/>
      <c r="U31" s="34"/>
      <c r="V31" s="34"/>
      <c r="W31" s="34"/>
      <c r="X31" s="34"/>
      <c r="Y31" s="34"/>
      <c r="Z31" s="34"/>
      <c r="AA31" s="34"/>
      <c r="AB31" s="34"/>
      <c r="AC31" s="34"/>
      <c r="AD31" s="34"/>
      <c r="AE31" s="34"/>
      <c r="AF31" s="34"/>
    </row>
    <row r="32" spans="1:32" x14ac:dyDescent="0.15">
      <c r="A32" s="29" t="s">
        <v>58</v>
      </c>
      <c r="B32" s="30" t="s">
        <v>42</v>
      </c>
      <c r="C32" s="54">
        <v>966.69139999999993</v>
      </c>
      <c r="D32" s="54">
        <f t="shared" si="2"/>
        <v>3298.3510567999997</v>
      </c>
      <c r="E32" s="31">
        <v>1396.7879999999998</v>
      </c>
      <c r="F32" s="31">
        <v>360.69749999999993</v>
      </c>
      <c r="G32" s="31">
        <v>1745.9849999999999</v>
      </c>
      <c r="H32" s="31">
        <v>1883.9909999999998</v>
      </c>
      <c r="I32" s="32">
        <v>2124.4559999999997</v>
      </c>
      <c r="J32" s="32">
        <v>2495.6085000000003</v>
      </c>
      <c r="K32" s="32">
        <v>3408.7481999999995</v>
      </c>
      <c r="L32" s="33">
        <v>5039.7190046380811</v>
      </c>
      <c r="M32" s="34"/>
      <c r="N32" s="34"/>
      <c r="O32" s="34"/>
      <c r="P32" s="34"/>
      <c r="Q32" s="34"/>
      <c r="R32" s="34"/>
      <c r="S32" s="34"/>
      <c r="T32" s="34"/>
      <c r="U32" s="34"/>
      <c r="V32" s="34"/>
      <c r="W32" s="34"/>
      <c r="X32" s="34"/>
      <c r="Y32" s="34"/>
      <c r="Z32" s="34"/>
      <c r="AA32" s="34"/>
      <c r="AB32" s="34"/>
      <c r="AC32" s="34"/>
      <c r="AD32" s="34"/>
      <c r="AE32" s="34"/>
      <c r="AF32" s="34"/>
    </row>
    <row r="33" spans="1:32" x14ac:dyDescent="0.15">
      <c r="A33" s="35" t="s">
        <v>15</v>
      </c>
      <c r="B33" s="36" t="s">
        <v>44</v>
      </c>
      <c r="C33" s="54">
        <v>1186.6905999999999</v>
      </c>
      <c r="D33" s="54">
        <f t="shared" si="2"/>
        <v>4048.9883271999997</v>
      </c>
      <c r="E33" s="37">
        <v>991.1339999999999</v>
      </c>
      <c r="F33" s="37">
        <v>210.14549999999997</v>
      </c>
      <c r="G33" s="37">
        <v>1237.8719999999998</v>
      </c>
      <c r="H33" s="37">
        <v>1375.8779999999999</v>
      </c>
      <c r="I33" s="38">
        <v>1507.6109999999999</v>
      </c>
      <c r="J33" s="38">
        <v>1817.079</v>
      </c>
      <c r="K33" s="38">
        <v>2422.6325999999999</v>
      </c>
      <c r="L33" s="39">
        <v>3578.2418363529605</v>
      </c>
      <c r="M33" s="34"/>
      <c r="N33" s="34"/>
      <c r="O33" s="34"/>
      <c r="P33" s="34"/>
      <c r="Q33" s="34"/>
      <c r="R33" s="34"/>
      <c r="S33" s="34"/>
      <c r="T33" s="34"/>
      <c r="U33" s="34"/>
      <c r="V33" s="34"/>
      <c r="W33" s="34"/>
      <c r="X33" s="34"/>
      <c r="Y33" s="34"/>
      <c r="Z33" s="34"/>
      <c r="AA33" s="34"/>
      <c r="AB33" s="34"/>
      <c r="AC33" s="34"/>
      <c r="AD33" s="34"/>
      <c r="AE33" s="34"/>
      <c r="AF33" s="34"/>
    </row>
    <row r="34" spans="1:32" x14ac:dyDescent="0.15">
      <c r="A34" s="29" t="s">
        <v>60</v>
      </c>
      <c r="B34" s="30" t="s">
        <v>46</v>
      </c>
      <c r="C34" s="54">
        <v>1810.3324</v>
      </c>
      <c r="D34" s="54">
        <f t="shared" si="2"/>
        <v>6176.8541488000001</v>
      </c>
      <c r="E34" s="31">
        <v>1368.5594999999998</v>
      </c>
      <c r="F34" s="31">
        <v>284.37599999999998</v>
      </c>
      <c r="G34" s="31">
        <v>1710.4379999999999</v>
      </c>
      <c r="H34" s="31">
        <v>1849.4894999999999</v>
      </c>
      <c r="I34" s="32">
        <v>2080.5449999999996</v>
      </c>
      <c r="J34" s="32">
        <v>2447.3064000000004</v>
      </c>
      <c r="K34" s="32">
        <v>3343.5089999999996</v>
      </c>
      <c r="L34" s="33">
        <v>4940.4956608224002</v>
      </c>
      <c r="M34" s="34"/>
      <c r="N34" s="34"/>
      <c r="O34" s="34"/>
      <c r="P34" s="34"/>
      <c r="Q34" s="34"/>
      <c r="R34" s="34"/>
      <c r="S34" s="34"/>
      <c r="T34" s="34"/>
      <c r="U34" s="34"/>
      <c r="V34" s="34"/>
      <c r="W34" s="34"/>
      <c r="X34" s="34"/>
      <c r="Y34" s="34"/>
      <c r="Z34" s="34"/>
      <c r="AA34" s="34"/>
      <c r="AB34" s="34"/>
      <c r="AC34" s="34"/>
      <c r="AD34" s="34"/>
      <c r="AE34" s="34"/>
      <c r="AF34" s="34"/>
    </row>
    <row r="35" spans="1:32" x14ac:dyDescent="0.15">
      <c r="A35" s="35" t="s">
        <v>62</v>
      </c>
      <c r="B35" s="36" t="s">
        <v>47</v>
      </c>
      <c r="C35" s="54">
        <v>2434.9063999999998</v>
      </c>
      <c r="D35" s="54">
        <f t="shared" si="2"/>
        <v>8307.9006367999991</v>
      </c>
      <c r="E35" s="37">
        <v>1770.0314999999998</v>
      </c>
      <c r="F35" s="37">
        <v>360.69749999999993</v>
      </c>
      <c r="G35" s="37">
        <v>2212.2779999999998</v>
      </c>
      <c r="H35" s="37">
        <v>2350.2839999999997</v>
      </c>
      <c r="I35" s="38">
        <v>2691.1169999999997</v>
      </c>
      <c r="J35" s="38">
        <v>3118.9355999999998</v>
      </c>
      <c r="K35" s="38">
        <v>4320.8423999999995</v>
      </c>
      <c r="L35" s="39">
        <v>6383.3684521420801</v>
      </c>
      <c r="M35" s="34"/>
      <c r="N35" s="34"/>
      <c r="O35" s="34"/>
      <c r="P35" s="34"/>
      <c r="Q35" s="34"/>
      <c r="R35" s="34"/>
      <c r="S35" s="34"/>
      <c r="T35" s="34"/>
      <c r="U35" s="34"/>
      <c r="V35" s="34"/>
      <c r="W35" s="34"/>
      <c r="X35" s="34"/>
      <c r="Y35" s="34"/>
      <c r="Z35" s="34"/>
      <c r="AA35" s="34"/>
      <c r="AB35" s="34"/>
      <c r="AC35" s="34"/>
      <c r="AD35" s="34"/>
      <c r="AE35" s="34"/>
      <c r="AF35" s="34"/>
    </row>
    <row r="36" spans="1:32" x14ac:dyDescent="0.15">
      <c r="A36" s="29" t="s">
        <v>63</v>
      </c>
      <c r="B36" s="30" t="s">
        <v>3</v>
      </c>
      <c r="C36" s="54">
        <v>769.06500000000005</v>
      </c>
      <c r="D36" s="54">
        <f t="shared" si="2"/>
        <v>2624.0497800000003</v>
      </c>
      <c r="E36" s="31">
        <v>780.98849999999993</v>
      </c>
      <c r="F36" s="31">
        <v>180.8715</v>
      </c>
      <c r="G36" s="31">
        <v>975.4514999999999</v>
      </c>
      <c r="H36" s="31">
        <v>1113.4575</v>
      </c>
      <c r="I36" s="32">
        <v>1187.6879999999999</v>
      </c>
      <c r="J36" s="32">
        <v>1465.1637000000001</v>
      </c>
      <c r="K36" s="32">
        <v>1906.9919999999997</v>
      </c>
      <c r="L36" s="33">
        <v>2817.5295337660805</v>
      </c>
      <c r="M36" s="34"/>
      <c r="N36" s="34"/>
      <c r="O36" s="34"/>
      <c r="P36" s="34"/>
      <c r="Q36" s="34"/>
      <c r="R36" s="34"/>
      <c r="S36" s="34"/>
      <c r="T36" s="34"/>
      <c r="U36" s="34"/>
      <c r="V36" s="34"/>
      <c r="W36" s="34"/>
      <c r="X36" s="34"/>
      <c r="Y36" s="34"/>
      <c r="Z36" s="34"/>
      <c r="AA36" s="34"/>
      <c r="AB36" s="34"/>
      <c r="AC36" s="34"/>
      <c r="AD36" s="34"/>
      <c r="AE36" s="34"/>
      <c r="AF36" s="34"/>
    </row>
    <row r="37" spans="1:32" x14ac:dyDescent="0.15">
      <c r="A37" s="35" t="s">
        <v>64</v>
      </c>
      <c r="B37" s="36" t="s">
        <v>4</v>
      </c>
      <c r="C37" s="54">
        <v>1153.4000000000001</v>
      </c>
      <c r="D37" s="54">
        <f t="shared" si="2"/>
        <v>3935.4008000000003</v>
      </c>
      <c r="E37" s="37">
        <v>992.17949999999996</v>
      </c>
      <c r="F37" s="37">
        <v>240.46499999999997</v>
      </c>
      <c r="G37" s="37">
        <v>1241.0084999999999</v>
      </c>
      <c r="H37" s="37">
        <v>1379.0145</v>
      </c>
      <c r="I37" s="38">
        <v>1508.6564999999998</v>
      </c>
      <c r="J37" s="38">
        <v>1818.2290499999999</v>
      </c>
      <c r="K37" s="38">
        <v>2422.6325999999999</v>
      </c>
      <c r="L37" s="39">
        <v>3578.2418363529605</v>
      </c>
      <c r="M37" s="34"/>
      <c r="N37" s="34"/>
      <c r="O37" s="34"/>
      <c r="P37" s="34"/>
      <c r="Q37" s="34"/>
      <c r="R37" s="34"/>
      <c r="S37" s="34"/>
      <c r="T37" s="34"/>
      <c r="U37" s="34"/>
      <c r="V37" s="34"/>
      <c r="W37" s="34"/>
      <c r="X37" s="34"/>
      <c r="Y37" s="34"/>
      <c r="Z37" s="34"/>
      <c r="AA37" s="34"/>
      <c r="AB37" s="34"/>
      <c r="AC37" s="34"/>
      <c r="AD37" s="34"/>
      <c r="AE37" s="34"/>
      <c r="AF37" s="34"/>
    </row>
    <row r="38" spans="1:32" x14ac:dyDescent="0.15">
      <c r="A38" s="29" t="s">
        <v>65</v>
      </c>
      <c r="B38" s="30" t="s">
        <v>5</v>
      </c>
      <c r="C38" s="54">
        <v>1538.13</v>
      </c>
      <c r="D38" s="54">
        <f t="shared" si="2"/>
        <v>5248.0995600000006</v>
      </c>
      <c r="E38" s="31">
        <v>1327.7850000000001</v>
      </c>
      <c r="F38" s="31">
        <v>300.05849999999998</v>
      </c>
      <c r="G38" s="31">
        <v>1660.2539999999999</v>
      </c>
      <c r="H38" s="31">
        <v>1799.3054999999999</v>
      </c>
      <c r="I38" s="32">
        <v>2019.9059999999997</v>
      </c>
      <c r="J38" s="32">
        <v>2380.6035000000002</v>
      </c>
      <c r="K38" s="32">
        <v>3246.9047999999998</v>
      </c>
      <c r="L38" s="33">
        <v>4795.7949510911994</v>
      </c>
      <c r="M38" s="34"/>
      <c r="N38" s="34"/>
      <c r="O38" s="34"/>
      <c r="P38" s="34"/>
      <c r="Q38" s="34"/>
      <c r="R38" s="34"/>
      <c r="S38" s="34"/>
      <c r="T38" s="34"/>
      <c r="U38" s="34"/>
      <c r="V38" s="34"/>
      <c r="W38" s="34"/>
      <c r="X38" s="34"/>
      <c r="Y38" s="34"/>
      <c r="Z38" s="34"/>
      <c r="AA38" s="34"/>
      <c r="AB38" s="34"/>
      <c r="AC38" s="34"/>
      <c r="AD38" s="34"/>
      <c r="AE38" s="34"/>
      <c r="AF38" s="34"/>
    </row>
    <row r="39" spans="1:32" x14ac:dyDescent="0.15">
      <c r="A39" s="35" t="s">
        <v>66</v>
      </c>
      <c r="B39" s="36" t="s">
        <v>6</v>
      </c>
      <c r="C39" s="54">
        <v>1442.1134</v>
      </c>
      <c r="D39" s="54">
        <f t="shared" si="2"/>
        <v>4920.4909207999999</v>
      </c>
      <c r="E39" s="37">
        <v>976.49699999999996</v>
      </c>
      <c r="F39" s="37">
        <v>180.8715</v>
      </c>
      <c r="G39" s="37">
        <v>1220.0985000000001</v>
      </c>
      <c r="H39" s="37">
        <v>1358.1044999999999</v>
      </c>
      <c r="I39" s="38">
        <v>1483.5645</v>
      </c>
      <c r="J39" s="38">
        <v>1790.6278500000001</v>
      </c>
      <c r="K39" s="38">
        <v>2383.7399999999998</v>
      </c>
      <c r="L39" s="39">
        <v>3520.3615524604811</v>
      </c>
      <c r="M39" s="34"/>
      <c r="N39" s="34"/>
      <c r="O39" s="34"/>
      <c r="P39" s="34"/>
      <c r="Q39" s="34"/>
      <c r="R39" s="34"/>
      <c r="S39" s="34"/>
      <c r="T39" s="34"/>
      <c r="U39" s="34"/>
      <c r="V39" s="34"/>
      <c r="W39" s="34"/>
      <c r="X39" s="34"/>
      <c r="Y39" s="34"/>
      <c r="Z39" s="34"/>
      <c r="AA39" s="34"/>
      <c r="AB39" s="34"/>
      <c r="AC39" s="34"/>
      <c r="AD39" s="34"/>
      <c r="AE39" s="34"/>
      <c r="AF39" s="34"/>
    </row>
    <row r="40" spans="1:32" x14ac:dyDescent="0.15">
      <c r="A40" s="29" t="s">
        <v>67</v>
      </c>
      <c r="B40" s="30" t="s">
        <v>69</v>
      </c>
      <c r="C40" s="54">
        <v>2211.21</v>
      </c>
      <c r="D40" s="54">
        <f t="shared" si="2"/>
        <v>7544.6485199999997</v>
      </c>
      <c r="E40" s="31">
        <v>1346.6039999999998</v>
      </c>
      <c r="F40" s="31">
        <v>240.46499999999997</v>
      </c>
      <c r="G40" s="31">
        <v>1682.2094999999999</v>
      </c>
      <c r="H40" s="31">
        <v>1820.2154999999998</v>
      </c>
      <c r="I40" s="32">
        <v>2047.0889999999999</v>
      </c>
      <c r="J40" s="32">
        <v>2410.5047999999997</v>
      </c>
      <c r="K40" s="32">
        <v>3288.3065999999994</v>
      </c>
      <c r="L40" s="33">
        <v>4859.8766939721609</v>
      </c>
      <c r="M40" s="34"/>
      <c r="N40" s="34"/>
      <c r="O40" s="34"/>
      <c r="P40" s="34"/>
      <c r="Q40" s="34"/>
      <c r="R40" s="34"/>
      <c r="S40" s="34"/>
      <c r="T40" s="34"/>
      <c r="U40" s="34"/>
      <c r="V40" s="34"/>
      <c r="W40" s="34"/>
      <c r="X40" s="34"/>
      <c r="Y40" s="34"/>
      <c r="Z40" s="34"/>
      <c r="AA40" s="34"/>
      <c r="AB40" s="34"/>
      <c r="AC40" s="34"/>
      <c r="AD40" s="34"/>
      <c r="AE40" s="34"/>
      <c r="AF40" s="34"/>
    </row>
    <row r="41" spans="1:32" x14ac:dyDescent="0.15">
      <c r="A41" s="35" t="s">
        <v>68</v>
      </c>
      <c r="B41" s="36" t="s">
        <v>70</v>
      </c>
      <c r="C41" s="54">
        <v>2980.2433999999998</v>
      </c>
      <c r="D41" s="54">
        <f t="shared" si="2"/>
        <v>10168.5904808</v>
      </c>
      <c r="E41" s="37">
        <v>1717.7564999999997</v>
      </c>
      <c r="F41" s="37">
        <v>300.05849999999998</v>
      </c>
      <c r="G41" s="37">
        <v>2147.4569999999999</v>
      </c>
      <c r="H41" s="37">
        <v>2285.4629999999997</v>
      </c>
      <c r="I41" s="38">
        <v>2612.7044999999998</v>
      </c>
      <c r="J41" s="38">
        <v>3032.6818499999999</v>
      </c>
      <c r="K41" s="38">
        <v>4195.3823999999995</v>
      </c>
      <c r="L41" s="39">
        <v>6199.5088441440021</v>
      </c>
      <c r="M41" s="34"/>
      <c r="N41" s="34"/>
      <c r="O41" s="34"/>
      <c r="P41" s="34"/>
      <c r="Q41" s="34"/>
      <c r="R41" s="34"/>
      <c r="S41" s="34"/>
      <c r="T41" s="34"/>
      <c r="U41" s="34"/>
      <c r="V41" s="34"/>
      <c r="W41" s="34"/>
      <c r="X41" s="34"/>
      <c r="Y41" s="34"/>
      <c r="Z41" s="34"/>
      <c r="AA41" s="34"/>
      <c r="AB41" s="34"/>
      <c r="AC41" s="34"/>
      <c r="AD41" s="34"/>
      <c r="AE41" s="34"/>
      <c r="AF41" s="34"/>
    </row>
    <row r="42" spans="1:32" x14ac:dyDescent="0.15">
      <c r="A42" s="343" t="s">
        <v>256</v>
      </c>
      <c r="B42" s="344"/>
      <c r="C42" s="344"/>
      <c r="D42" s="344"/>
      <c r="E42" s="344"/>
      <c r="F42" s="344"/>
      <c r="G42" s="344"/>
      <c r="H42" s="344"/>
      <c r="I42" s="344"/>
      <c r="J42" s="344"/>
      <c r="K42" s="344"/>
      <c r="L42" s="345"/>
      <c r="M42" s="56"/>
    </row>
    <row r="43" spans="1:32" ht="27" customHeight="1" x14ac:dyDescent="0.15">
      <c r="A43" s="355" t="s">
        <v>258</v>
      </c>
      <c r="B43" s="356"/>
      <c r="C43" s="356"/>
      <c r="D43" s="356"/>
      <c r="E43" s="356"/>
      <c r="F43" s="356"/>
      <c r="G43" s="356"/>
      <c r="H43" s="356"/>
      <c r="I43" s="356"/>
      <c r="J43" s="356"/>
      <c r="K43" s="356"/>
      <c r="L43" s="357"/>
      <c r="M43" s="56"/>
    </row>
    <row r="44" spans="1:32" x14ac:dyDescent="0.15">
      <c r="A44" s="340" t="s">
        <v>313</v>
      </c>
      <c r="B44" s="341"/>
      <c r="C44" s="341"/>
      <c r="D44" s="341"/>
      <c r="E44" s="341"/>
      <c r="F44" s="341"/>
      <c r="G44" s="341"/>
      <c r="H44" s="341"/>
      <c r="I44" s="341"/>
      <c r="J44" s="341"/>
      <c r="K44" s="341"/>
      <c r="L44" s="342"/>
    </row>
    <row r="45" spans="1:32" x14ac:dyDescent="0.15">
      <c r="A45" s="340" t="s">
        <v>311</v>
      </c>
      <c r="B45" s="341"/>
      <c r="C45" s="341"/>
      <c r="D45" s="341"/>
      <c r="E45" s="341"/>
      <c r="F45" s="341"/>
      <c r="G45" s="341"/>
      <c r="H45" s="341"/>
      <c r="I45" s="341"/>
      <c r="J45" s="341"/>
      <c r="K45" s="341"/>
      <c r="L45" s="342"/>
    </row>
    <row r="46" spans="1:32" x14ac:dyDescent="0.15">
      <c r="A46" s="340" t="s">
        <v>312</v>
      </c>
      <c r="B46" s="341"/>
      <c r="C46" s="341"/>
      <c r="D46" s="341"/>
      <c r="E46" s="341"/>
      <c r="F46" s="341"/>
      <c r="G46" s="341"/>
      <c r="H46" s="341"/>
      <c r="I46" s="341"/>
      <c r="J46" s="341"/>
      <c r="K46" s="341"/>
      <c r="L46" s="342"/>
    </row>
    <row r="47" spans="1:32" ht="26" customHeight="1" x14ac:dyDescent="0.15">
      <c r="A47" s="331" t="s">
        <v>310</v>
      </c>
      <c r="B47" s="332"/>
      <c r="C47" s="332"/>
      <c r="D47" s="332"/>
      <c r="E47" s="332"/>
      <c r="F47" s="332"/>
      <c r="G47" s="332"/>
      <c r="H47" s="332"/>
      <c r="I47" s="332"/>
      <c r="J47" s="332"/>
      <c r="K47" s="332"/>
      <c r="L47" s="333"/>
    </row>
    <row r="48" spans="1:32" ht="27" customHeight="1" x14ac:dyDescent="0.15">
      <c r="A48" s="346" t="s">
        <v>240</v>
      </c>
      <c r="B48" s="347"/>
      <c r="C48" s="347"/>
      <c r="D48" s="347"/>
      <c r="E48" s="347"/>
      <c r="F48" s="347"/>
      <c r="G48" s="347"/>
      <c r="H48" s="347"/>
      <c r="I48" s="347"/>
      <c r="J48" s="347"/>
      <c r="K48" s="347"/>
      <c r="L48" s="348"/>
    </row>
    <row r="49" spans="1:14" x14ac:dyDescent="0.15">
      <c r="A49" s="349" t="s">
        <v>73</v>
      </c>
      <c r="B49" s="350"/>
      <c r="C49" s="350"/>
      <c r="D49" s="350"/>
      <c r="E49" s="350"/>
      <c r="F49" s="350"/>
      <c r="G49" s="350"/>
      <c r="H49" s="350"/>
      <c r="I49" s="350"/>
      <c r="J49" s="350"/>
      <c r="K49" s="350"/>
      <c r="L49" s="351"/>
    </row>
    <row r="50" spans="1:14" x14ac:dyDescent="0.15">
      <c r="A50" s="352" t="s">
        <v>261</v>
      </c>
      <c r="B50" s="353"/>
      <c r="C50" s="353"/>
      <c r="D50" s="353"/>
      <c r="E50" s="353"/>
      <c r="F50" s="353"/>
      <c r="G50" s="353"/>
      <c r="H50" s="353"/>
      <c r="I50" s="353"/>
      <c r="J50" s="353"/>
      <c r="K50" s="353"/>
      <c r="L50" s="354"/>
    </row>
    <row r="51" spans="1:14" ht="16.25" customHeight="1" x14ac:dyDescent="0.15">
      <c r="A51" s="323" t="s">
        <v>259</v>
      </c>
      <c r="B51" s="324"/>
      <c r="C51" s="324"/>
      <c r="D51" s="324"/>
      <c r="E51" s="324"/>
      <c r="F51" s="324"/>
      <c r="G51" s="324"/>
      <c r="H51" s="324"/>
      <c r="I51" s="324"/>
      <c r="J51" s="324"/>
      <c r="K51" s="324"/>
      <c r="L51" s="325"/>
      <c r="M51" s="49"/>
      <c r="N51" s="49"/>
    </row>
    <row r="52" spans="1:14" ht="13.25" customHeight="1" x14ac:dyDescent="0.15">
      <c r="A52" s="323" t="s">
        <v>254</v>
      </c>
      <c r="B52" s="324"/>
      <c r="C52" s="324"/>
      <c r="D52" s="324"/>
      <c r="E52" s="324"/>
      <c r="F52" s="324"/>
      <c r="G52" s="324"/>
      <c r="H52" s="324"/>
      <c r="I52" s="324"/>
      <c r="J52" s="324"/>
      <c r="K52" s="324"/>
      <c r="L52" s="325"/>
      <c r="M52" s="50"/>
      <c r="N52" s="50"/>
    </row>
    <row r="53" spans="1:14" ht="13.25" customHeight="1" thickBot="1" x14ac:dyDescent="0.2">
      <c r="A53" s="326" t="s">
        <v>71</v>
      </c>
      <c r="B53" s="327"/>
      <c r="C53" s="327"/>
      <c r="D53" s="327"/>
      <c r="E53" s="327"/>
      <c r="F53" s="327"/>
      <c r="G53" s="327"/>
      <c r="H53" s="327"/>
      <c r="I53" s="327"/>
      <c r="J53" s="327"/>
      <c r="K53" s="327"/>
      <c r="L53" s="328"/>
      <c r="M53" s="51"/>
      <c r="N53" s="51"/>
    </row>
  </sheetData>
  <mergeCells count="29">
    <mergeCell ref="A46:L46"/>
    <mergeCell ref="A1:G1"/>
    <mergeCell ref="A3:A4"/>
    <mergeCell ref="G3:G4"/>
    <mergeCell ref="J3:J4"/>
    <mergeCell ref="L3:L4"/>
    <mergeCell ref="B3:B4"/>
    <mergeCell ref="C3:C4"/>
    <mergeCell ref="K3:K4"/>
    <mergeCell ref="D3:D4"/>
    <mergeCell ref="A2:L2"/>
    <mergeCell ref="H3:H4"/>
    <mergeCell ref="I3:I4"/>
    <mergeCell ref="A51:L51"/>
    <mergeCell ref="A52:L52"/>
    <mergeCell ref="A53:L53"/>
    <mergeCell ref="E3:E4"/>
    <mergeCell ref="F3:F4"/>
    <mergeCell ref="A47:L47"/>
    <mergeCell ref="A25:L25"/>
    <mergeCell ref="A13:L13"/>
    <mergeCell ref="A5:L5"/>
    <mergeCell ref="A45:L45"/>
    <mergeCell ref="A42:L42"/>
    <mergeCell ref="A48:L48"/>
    <mergeCell ref="A49:L49"/>
    <mergeCell ref="A50:L50"/>
    <mergeCell ref="A44:L44"/>
    <mergeCell ref="A43:L43"/>
  </mergeCells>
  <phoneticPr fontId="6" type="noConversion"/>
  <printOptions horizontalCentered="1"/>
  <pageMargins left="0.24" right="0.14000000000000001" top="0.64" bottom="0.64" header="0.511811023622047" footer="0.43"/>
  <pageSetup paperSize="9" scale="57" orientation="landscape" horizontalDpi="300" verticalDpi="300" r:id="rId1"/>
  <headerFooter alignWithMargins="0">
    <oddFooter>&amp;R&amp;"Unit-Light,Regular"&amp;KC9CBCCIssue 1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L153"/>
  <sheetViews>
    <sheetView zoomScale="120" zoomScaleNormal="120" workbookViewId="0">
      <selection activeCell="A12" sqref="A12:P12"/>
    </sheetView>
  </sheetViews>
  <sheetFormatPr baseColWidth="10" defaultColWidth="9.19921875" defaultRowHeight="14" x14ac:dyDescent="0.15"/>
  <cols>
    <col min="1" max="1" width="24.796875" style="66" customWidth="1"/>
    <col min="2" max="2" width="13.796875" style="66" customWidth="1"/>
    <col min="3" max="5" width="13" style="66" customWidth="1"/>
    <col min="6" max="6" width="15.59765625" style="66" customWidth="1"/>
    <col min="7" max="8" width="15" style="66" customWidth="1"/>
    <col min="9" max="9" width="16.19921875" style="66" customWidth="1"/>
    <col min="10" max="10" width="16" style="66" customWidth="1"/>
    <col min="11" max="16" width="15" style="66" customWidth="1"/>
    <col min="17" max="17" width="12" style="66" bestFit="1" customWidth="1"/>
    <col min="18" max="19" width="11.3984375" style="66" bestFit="1" customWidth="1"/>
    <col min="20" max="22" width="9.19921875" style="66" customWidth="1"/>
    <col min="23" max="23" width="10.3984375" style="66" bestFit="1" customWidth="1"/>
    <col min="24" max="116" width="8.796875" style="66" customWidth="1"/>
    <col min="117" max="16384" width="9.19921875" style="68"/>
  </cols>
  <sheetData>
    <row r="1" spans="1:16" ht="29.25" customHeight="1" x14ac:dyDescent="0.15">
      <c r="O1" s="67"/>
    </row>
    <row r="2" spans="1:16" ht="29.25" customHeight="1" x14ac:dyDescent="0.15">
      <c r="A2" s="396"/>
      <c r="B2" s="397"/>
      <c r="C2" s="69"/>
      <c r="D2" s="69"/>
      <c r="E2" s="69"/>
      <c r="F2" s="69"/>
      <c r="G2" s="69"/>
      <c r="H2" s="69"/>
      <c r="I2" s="69"/>
      <c r="J2" s="69"/>
      <c r="K2" s="69"/>
      <c r="L2" s="69"/>
      <c r="M2" s="69"/>
      <c r="N2" s="69"/>
      <c r="O2" s="67"/>
    </row>
    <row r="3" spans="1:16" ht="29.25" customHeight="1" thickBot="1" x14ac:dyDescent="0.2">
      <c r="A3" s="397"/>
      <c r="B3" s="397"/>
      <c r="C3" s="69"/>
      <c r="D3" s="69"/>
      <c r="E3" s="69"/>
      <c r="F3" s="69"/>
      <c r="G3" s="69"/>
      <c r="H3" s="69"/>
      <c r="I3" s="69"/>
      <c r="J3" s="69"/>
      <c r="K3" s="69"/>
      <c r="L3" s="69"/>
      <c r="M3" s="69"/>
      <c r="N3" s="69"/>
      <c r="O3" s="67"/>
    </row>
    <row r="4" spans="1:16" ht="25.25" customHeight="1" x14ac:dyDescent="0.15">
      <c r="A4" s="398" t="s">
        <v>296</v>
      </c>
      <c r="B4" s="399"/>
      <c r="C4" s="399"/>
      <c r="D4" s="399"/>
      <c r="E4" s="399"/>
      <c r="F4" s="399"/>
      <c r="G4" s="399"/>
      <c r="H4" s="399"/>
      <c r="I4" s="399"/>
      <c r="J4" s="399"/>
      <c r="K4" s="399"/>
      <c r="L4" s="399"/>
      <c r="M4" s="399"/>
      <c r="N4" s="399"/>
      <c r="O4" s="400"/>
      <c r="P4" s="401"/>
    </row>
    <row r="5" spans="1:16" ht="25.25" customHeight="1" x14ac:dyDescent="0.15">
      <c r="A5" s="373" t="s">
        <v>241</v>
      </c>
      <c r="B5" s="374"/>
      <c r="C5" s="374"/>
      <c r="D5" s="374"/>
      <c r="E5" s="374"/>
      <c r="F5" s="374"/>
      <c r="G5" s="374"/>
      <c r="H5" s="374"/>
      <c r="I5" s="374"/>
      <c r="J5" s="374"/>
      <c r="K5" s="374"/>
      <c r="L5" s="374"/>
      <c r="M5" s="374"/>
      <c r="N5" s="374"/>
      <c r="O5" s="374"/>
      <c r="P5" s="375"/>
    </row>
    <row r="6" spans="1:16" ht="15" customHeight="1" x14ac:dyDescent="0.15">
      <c r="A6" s="57"/>
      <c r="B6" s="58"/>
      <c r="C6" s="58"/>
      <c r="D6" s="58"/>
      <c r="E6" s="58"/>
      <c r="F6" s="58"/>
      <c r="G6" s="58"/>
      <c r="H6" s="58"/>
      <c r="I6" s="58"/>
      <c r="J6" s="58"/>
      <c r="K6" s="58"/>
      <c r="L6" s="58"/>
      <c r="M6" s="376" t="s">
        <v>161</v>
      </c>
      <c r="N6" s="376"/>
      <c r="O6" s="376" t="s">
        <v>160</v>
      </c>
      <c r="P6" s="377"/>
    </row>
    <row r="7" spans="1:16" ht="146" customHeight="1" x14ac:dyDescent="0.15">
      <c r="A7" s="388" t="s">
        <v>281</v>
      </c>
      <c r="B7" s="389"/>
      <c r="C7" s="59" t="s">
        <v>246</v>
      </c>
      <c r="D7" s="59" t="s">
        <v>247</v>
      </c>
      <c r="E7" s="59" t="s">
        <v>248</v>
      </c>
      <c r="F7" s="199" t="s">
        <v>262</v>
      </c>
      <c r="G7" s="200" t="s">
        <v>279</v>
      </c>
      <c r="H7" s="200" t="s">
        <v>269</v>
      </c>
      <c r="I7" s="200" t="s">
        <v>284</v>
      </c>
      <c r="J7" s="200" t="s">
        <v>263</v>
      </c>
      <c r="K7" s="200" t="s">
        <v>283</v>
      </c>
      <c r="L7" s="200" t="s">
        <v>280</v>
      </c>
      <c r="M7" s="59" t="s">
        <v>163</v>
      </c>
      <c r="N7" s="59" t="s">
        <v>164</v>
      </c>
      <c r="O7" s="59" t="s">
        <v>163</v>
      </c>
      <c r="P7" s="60" t="s">
        <v>164</v>
      </c>
    </row>
    <row r="8" spans="1:16" ht="16.5" customHeight="1" x14ac:dyDescent="0.15">
      <c r="A8" s="378" t="s">
        <v>245</v>
      </c>
      <c r="B8" s="58" t="s">
        <v>166</v>
      </c>
      <c r="C8" s="58">
        <v>50</v>
      </c>
      <c r="D8" s="61">
        <v>2000</v>
      </c>
      <c r="E8" s="61">
        <v>600</v>
      </c>
      <c r="F8" s="62">
        <f>G8*0.8*1.05*1.07*1.025*1.02</f>
        <v>2173.0773891100721</v>
      </c>
      <c r="G8" s="62">
        <f>(Sheet1!AG2*1.4915*1.08*1.05*1.07)*107%*1.025*1.02</f>
        <v>2312.5338158621107</v>
      </c>
      <c r="H8" s="62">
        <f>(G8+(110*1.07))*107%*1.025*1.02</f>
        <v>2718.6661162977048</v>
      </c>
      <c r="I8" s="62">
        <f>(H8*1.09)*107%*1.025*1.02*1.1</f>
        <v>3646.5558741682876</v>
      </c>
      <c r="J8" s="62">
        <f>(G8*1.1*1.07)*107%*1.025*1.02</f>
        <v>3044.8953416458994</v>
      </c>
      <c r="K8" s="62">
        <f>(G8/1.08*1.55*1.045*1.04*1.12)*107%*1.025*1.02*1.2</f>
        <v>5423.1641260021961</v>
      </c>
      <c r="L8" s="62">
        <f>(K8*1.3)*112%*1.025*1.2*1.2</f>
        <v>11654.683403969775</v>
      </c>
      <c r="M8" s="76">
        <f>O8*0.79</f>
        <v>2018.7589196250001</v>
      </c>
      <c r="N8" s="76">
        <f>M8*3.412</f>
        <v>6888.0054337604997</v>
      </c>
      <c r="O8" s="76">
        <f>Sheet1!H12*1.18</f>
        <v>2555.3910375</v>
      </c>
      <c r="P8" s="77">
        <f>O8*3.412</f>
        <v>8718.9942199500001</v>
      </c>
    </row>
    <row r="9" spans="1:16" ht="15" x14ac:dyDescent="0.15">
      <c r="A9" s="378"/>
      <c r="B9" s="58" t="s">
        <v>167</v>
      </c>
      <c r="C9" s="58">
        <v>95</v>
      </c>
      <c r="D9" s="61">
        <v>2000</v>
      </c>
      <c r="E9" s="61">
        <v>600</v>
      </c>
      <c r="F9" s="62">
        <f>G9*0.8*1.05*1.07*1.025*1.02</f>
        <v>2861.2811070197681</v>
      </c>
      <c r="G9" s="62">
        <f>(Sheet1!AG3*1.4915*1.08*1.05*1.07)*107%*1.025*1.02</f>
        <v>3044.9027493587469</v>
      </c>
      <c r="H9" s="62">
        <f>(G9+(110*1.07))*107%*1.025*1.02</f>
        <v>3537.9562566663899</v>
      </c>
      <c r="I9" s="62">
        <f>(H9*1.09)*107%*1.025*1.02*1.1</f>
        <v>4745.4724553916203</v>
      </c>
      <c r="J9" s="62">
        <f>(G9*1.1*1.07)*107%*1.025*1.02</f>
        <v>4009.1998368598411</v>
      </c>
      <c r="K9" s="62">
        <f>(G9/1.08*1.55*1.045*1.04*1.12)*107%*1.025*1.02*1.2</f>
        <v>7140.6555200282655</v>
      </c>
      <c r="L9" s="62">
        <f>(K9*1.3)*112%*1.025*1.2*1.2</f>
        <v>15345.668589249864</v>
      </c>
      <c r="M9" s="76">
        <f>O9*0.79</f>
        <v>3749.1237078749991</v>
      </c>
      <c r="N9" s="76">
        <f>M9*3.412</f>
        <v>12792.010091269496</v>
      </c>
      <c r="O9" s="76">
        <f>Sheet1!H13*1.18</f>
        <v>4745.7262124999988</v>
      </c>
      <c r="P9" s="77">
        <f>O9*3.412</f>
        <v>16192.417837049996</v>
      </c>
    </row>
    <row r="10" spans="1:16" ht="14.75" customHeight="1" x14ac:dyDescent="0.15">
      <c r="A10" s="379" t="s">
        <v>244</v>
      </c>
      <c r="B10" s="70" t="s">
        <v>166</v>
      </c>
      <c r="C10" s="70">
        <v>50</v>
      </c>
      <c r="D10" s="63">
        <v>2100</v>
      </c>
      <c r="E10" s="63">
        <v>700</v>
      </c>
      <c r="F10" s="64">
        <f>((G10-272)*0.8+345)*1.05*1.07*1.025*1.02</f>
        <v>2927.0726165287156</v>
      </c>
      <c r="G10" s="64">
        <f>((Sheet1!Z28+345)*1.05*1.07)*107%*1.025*1.02</f>
        <v>2955.6664043249712</v>
      </c>
      <c r="H10" s="62">
        <f>(G10+(110*1.07))*107%*1.025*1.02</f>
        <v>3438.1288960222796</v>
      </c>
      <c r="I10" s="64">
        <f>((H10-272)*1.09+345)*107%*1.025*1.02*1.1</f>
        <v>4671.2801414519745</v>
      </c>
      <c r="J10" s="64">
        <f>(Sheet1!AA28+345)*107%*1.025*1.02</f>
        <v>2966.3673633279914</v>
      </c>
      <c r="K10" s="64">
        <f>(Sheet1!AB28+345)*107%*1.025*1.02*1.2</f>
        <v>4641.1417648932138</v>
      </c>
      <c r="L10" s="64">
        <f>((K10*1.2-272)*1.3+345)*112%*1.025*1.2</f>
        <v>9962.2261966943515</v>
      </c>
      <c r="M10" s="78">
        <f>O10*0.79</f>
        <v>1935.5111291249998</v>
      </c>
      <c r="N10" s="78">
        <f>M10*3.412</f>
        <v>6603.9639725744992</v>
      </c>
      <c r="O10" s="78">
        <f>Sheet1!H36*1.18</f>
        <v>2450.0140874999997</v>
      </c>
      <c r="P10" s="79">
        <f>O10*3.412</f>
        <v>8359.4480665499996</v>
      </c>
    </row>
    <row r="11" spans="1:16" ht="17.25" customHeight="1" x14ac:dyDescent="0.15">
      <c r="A11" s="379"/>
      <c r="B11" s="70" t="s">
        <v>167</v>
      </c>
      <c r="C11" s="70">
        <v>95</v>
      </c>
      <c r="D11" s="63">
        <v>1958</v>
      </c>
      <c r="E11" s="63">
        <v>492</v>
      </c>
      <c r="F11" s="64">
        <f>((G11-272)*0.8+345)*1.05*1.07*1.025*1.02</f>
        <v>2983.7224182515947</v>
      </c>
      <c r="G11" s="64">
        <f>((Sheet1!Z29+345)*1.05*1.07)*107%*1.025*1.02</f>
        <v>3015.9516858352122</v>
      </c>
      <c r="H11" s="62">
        <f>(G11+(110*1.07))*107%*1.025*1.02</f>
        <v>3505.569136168564</v>
      </c>
      <c r="I11" s="64">
        <f>((H11-272)*1.09+345)*107%*1.025*1.02*1.1</f>
        <v>4761.7379591245826</v>
      </c>
      <c r="J11" s="64">
        <f>(Sheet1!AA29+345)*107%*1.025*1.02</f>
        <v>3028.0477648375795</v>
      </c>
      <c r="K11" s="64">
        <f>(Sheet1!AB29+345)*107%*1.025*1.02*1.2</f>
        <v>4741.0096138020626</v>
      </c>
      <c r="L11" s="64">
        <f>((K11-261)*1.3+345)*112%*1.025*1.2*1.2</f>
        <v>10198.117940599004</v>
      </c>
      <c r="M11" s="78">
        <f>O11*0.79</f>
        <v>1935.7093381499999</v>
      </c>
      <c r="N11" s="78">
        <f>M11*3.412</f>
        <v>6604.6402617677995</v>
      </c>
      <c r="O11" s="78">
        <f>Sheet1!H37*1.18</f>
        <v>2450.2649849999998</v>
      </c>
      <c r="P11" s="79">
        <f>O11*3.412</f>
        <v>8360.3041288199984</v>
      </c>
    </row>
    <row r="12" spans="1:16" s="27" customFormat="1" x14ac:dyDescent="0.15">
      <c r="A12" s="386" t="s">
        <v>256</v>
      </c>
      <c r="B12" s="387"/>
      <c r="C12" s="387"/>
      <c r="D12" s="387"/>
      <c r="E12" s="387"/>
      <c r="F12" s="387"/>
      <c r="G12" s="387"/>
      <c r="H12" s="387"/>
      <c r="I12" s="387"/>
      <c r="J12" s="387"/>
      <c r="K12" s="387"/>
      <c r="L12" s="387"/>
      <c r="M12" s="387"/>
      <c r="N12" s="387"/>
      <c r="O12" s="387"/>
      <c r="P12" s="387"/>
    </row>
    <row r="13" spans="1:16" s="27" customFormat="1" ht="27" customHeight="1" x14ac:dyDescent="0.15">
      <c r="A13" s="380" t="s">
        <v>258</v>
      </c>
      <c r="B13" s="381"/>
      <c r="C13" s="381"/>
      <c r="D13" s="381"/>
      <c r="E13" s="381"/>
      <c r="F13" s="381"/>
      <c r="G13" s="381"/>
      <c r="H13" s="381"/>
      <c r="I13" s="381"/>
      <c r="J13" s="381"/>
      <c r="K13" s="381"/>
      <c r="L13" s="381"/>
      <c r="M13" s="382"/>
      <c r="N13" s="382"/>
      <c r="O13" s="382"/>
      <c r="P13" s="382"/>
    </row>
    <row r="14" spans="1:16" s="27" customFormat="1" ht="14" customHeight="1" x14ac:dyDescent="0.15">
      <c r="A14" s="340" t="s">
        <v>313</v>
      </c>
      <c r="B14" s="341"/>
      <c r="C14" s="341"/>
      <c r="D14" s="341"/>
      <c r="E14" s="341"/>
      <c r="F14" s="341"/>
      <c r="G14" s="341"/>
      <c r="H14" s="341"/>
      <c r="I14" s="341"/>
      <c r="J14" s="341"/>
      <c r="K14" s="341"/>
      <c r="L14" s="342"/>
      <c r="M14" s="65"/>
      <c r="N14" s="65"/>
      <c r="O14" s="65"/>
      <c r="P14" s="65"/>
    </row>
    <row r="15" spans="1:16" s="27" customFormat="1" ht="14" customHeight="1" x14ac:dyDescent="0.15">
      <c r="A15" s="340" t="s">
        <v>311</v>
      </c>
      <c r="B15" s="341"/>
      <c r="C15" s="341"/>
      <c r="D15" s="341"/>
      <c r="E15" s="341"/>
      <c r="F15" s="341"/>
      <c r="G15" s="341"/>
      <c r="H15" s="341"/>
      <c r="I15" s="341"/>
      <c r="J15" s="341"/>
      <c r="K15" s="341"/>
      <c r="L15" s="342"/>
      <c r="M15" s="65"/>
      <c r="N15" s="65"/>
      <c r="O15" s="65"/>
      <c r="P15" s="65"/>
    </row>
    <row r="16" spans="1:16" s="27" customFormat="1" ht="14" customHeight="1" x14ac:dyDescent="0.15">
      <c r="A16" s="390" t="s">
        <v>290</v>
      </c>
      <c r="B16" s="391"/>
      <c r="C16" s="391"/>
      <c r="D16" s="391"/>
      <c r="E16" s="391"/>
      <c r="F16" s="391"/>
      <c r="G16" s="391"/>
      <c r="H16" s="391"/>
      <c r="I16" s="391"/>
      <c r="J16" s="391"/>
      <c r="K16" s="391"/>
      <c r="L16" s="391"/>
      <c r="M16" s="392"/>
      <c r="N16" s="392"/>
      <c r="O16" s="392"/>
      <c r="P16" s="392"/>
    </row>
    <row r="17" spans="1:16" s="27" customFormat="1" ht="14" customHeight="1" x14ac:dyDescent="0.15">
      <c r="A17" s="402" t="s">
        <v>310</v>
      </c>
      <c r="B17" s="391"/>
      <c r="C17" s="391"/>
      <c r="D17" s="391"/>
      <c r="E17" s="391"/>
      <c r="F17" s="391"/>
      <c r="G17" s="391"/>
      <c r="H17" s="391"/>
      <c r="I17" s="391"/>
      <c r="J17" s="391"/>
      <c r="K17" s="391"/>
      <c r="L17" s="391"/>
      <c r="M17" s="392"/>
      <c r="N17" s="392"/>
      <c r="O17" s="392"/>
      <c r="P17" s="392"/>
    </row>
    <row r="18" spans="1:16" s="27" customFormat="1" ht="14" customHeight="1" x14ac:dyDescent="0.15">
      <c r="A18" s="383" t="s">
        <v>240</v>
      </c>
      <c r="B18" s="384"/>
      <c r="C18" s="384"/>
      <c r="D18" s="384"/>
      <c r="E18" s="384"/>
      <c r="F18" s="384"/>
      <c r="G18" s="384"/>
      <c r="H18" s="384"/>
      <c r="I18" s="384"/>
      <c r="J18" s="384"/>
      <c r="K18" s="384"/>
      <c r="L18" s="384"/>
      <c r="M18" s="385"/>
      <c r="N18" s="385"/>
      <c r="O18" s="385"/>
      <c r="P18" s="385"/>
    </row>
    <row r="19" spans="1:16" s="27" customFormat="1" ht="14" customHeight="1" x14ac:dyDescent="0.15">
      <c r="A19" s="346" t="s">
        <v>73</v>
      </c>
      <c r="B19" s="347"/>
      <c r="C19" s="347"/>
      <c r="D19" s="347"/>
      <c r="E19" s="347"/>
      <c r="F19" s="347"/>
      <c r="G19" s="347"/>
      <c r="H19" s="347"/>
      <c r="I19" s="347"/>
      <c r="J19" s="347"/>
      <c r="K19" s="347"/>
      <c r="L19" s="348"/>
      <c r="M19" s="75"/>
      <c r="N19" s="75"/>
      <c r="O19" s="75"/>
      <c r="P19" s="75"/>
    </row>
    <row r="20" spans="1:16" s="27" customFormat="1" ht="14" customHeight="1" x14ac:dyDescent="0.15">
      <c r="A20" s="393" t="s">
        <v>261</v>
      </c>
      <c r="B20" s="394"/>
      <c r="C20" s="394"/>
      <c r="D20" s="394"/>
      <c r="E20" s="394"/>
      <c r="F20" s="394"/>
      <c r="G20" s="394"/>
      <c r="H20" s="394"/>
      <c r="I20" s="394"/>
      <c r="J20" s="394"/>
      <c r="K20" s="394"/>
      <c r="L20" s="394"/>
      <c r="M20" s="395"/>
      <c r="N20" s="395"/>
      <c r="O20" s="395"/>
      <c r="P20" s="395"/>
    </row>
    <row r="21" spans="1:16" x14ac:dyDescent="0.15">
      <c r="A21" s="367" t="s">
        <v>254</v>
      </c>
      <c r="B21" s="368"/>
      <c r="C21" s="368"/>
      <c r="D21" s="368"/>
      <c r="E21" s="368"/>
      <c r="F21" s="368"/>
      <c r="G21" s="368"/>
      <c r="H21" s="368"/>
      <c r="I21" s="368"/>
      <c r="J21" s="368"/>
      <c r="K21" s="368"/>
      <c r="L21" s="368"/>
      <c r="M21" s="368"/>
      <c r="N21" s="368"/>
      <c r="O21" s="368"/>
      <c r="P21" s="369"/>
    </row>
    <row r="22" spans="1:16" ht="15" thickBot="1" x14ac:dyDescent="0.2">
      <c r="A22" s="370" t="s">
        <v>71</v>
      </c>
      <c r="B22" s="371"/>
      <c r="C22" s="371"/>
      <c r="D22" s="371"/>
      <c r="E22" s="371"/>
      <c r="F22" s="371"/>
      <c r="G22" s="371"/>
      <c r="H22" s="371"/>
      <c r="I22" s="371"/>
      <c r="J22" s="371"/>
      <c r="K22" s="371"/>
      <c r="L22" s="371"/>
      <c r="M22" s="371"/>
      <c r="N22" s="371"/>
      <c r="O22" s="371"/>
      <c r="P22" s="372"/>
    </row>
    <row r="23" spans="1:16" x14ac:dyDescent="0.15">
      <c r="G23" s="71"/>
      <c r="H23" s="71"/>
      <c r="I23" s="71"/>
      <c r="J23" s="71"/>
      <c r="K23" s="71"/>
      <c r="L23" s="71"/>
    </row>
    <row r="24" spans="1:16" ht="12.75" customHeight="1" x14ac:dyDescent="0.15">
      <c r="G24" s="71"/>
      <c r="H24" s="71"/>
      <c r="I24" s="71"/>
      <c r="J24" s="71"/>
      <c r="K24" s="71"/>
      <c r="L24" s="71"/>
    </row>
    <row r="25" spans="1:16" ht="12.75" customHeight="1" x14ac:dyDescent="0.15"/>
    <row r="26" spans="1:16" x14ac:dyDescent="0.15">
      <c r="F26" s="71"/>
      <c r="G26" s="71"/>
      <c r="H26" s="71"/>
      <c r="I26" s="71"/>
      <c r="J26" s="71"/>
      <c r="K26" s="71"/>
      <c r="L26" s="71"/>
    </row>
    <row r="27" spans="1:16" x14ac:dyDescent="0.15">
      <c r="F27" s="71"/>
      <c r="G27" s="71"/>
      <c r="H27" s="71"/>
      <c r="I27" s="71"/>
      <c r="J27" s="71"/>
      <c r="K27" s="71"/>
      <c r="L27" s="71"/>
    </row>
    <row r="28" spans="1:16" x14ac:dyDescent="0.15">
      <c r="G28" s="71"/>
      <c r="H28" s="71"/>
      <c r="I28" s="71"/>
      <c r="J28" s="71"/>
      <c r="K28" s="71"/>
      <c r="L28" s="71"/>
    </row>
    <row r="29" spans="1:16" ht="12.75" customHeight="1" x14ac:dyDescent="0.15">
      <c r="G29" s="71"/>
      <c r="H29" s="71"/>
      <c r="I29" s="71"/>
      <c r="J29" s="71"/>
      <c r="K29" s="71"/>
      <c r="L29" s="72"/>
      <c r="M29" s="72"/>
      <c r="N29" s="72"/>
    </row>
    <row r="30" spans="1:16" x14ac:dyDescent="0.15">
      <c r="N30" s="72"/>
    </row>
    <row r="33" ht="13.5" customHeight="1" x14ac:dyDescent="0.15"/>
    <row r="131" spans="2:19" ht="15" x14ac:dyDescent="0.15">
      <c r="B131" s="66" t="s">
        <v>223</v>
      </c>
    </row>
    <row r="132" spans="2:19" ht="15" x14ac:dyDescent="0.15">
      <c r="B132" s="66" t="s">
        <v>224</v>
      </c>
    </row>
    <row r="133" spans="2:19" ht="15" x14ac:dyDescent="0.15">
      <c r="B133" s="66" t="s">
        <v>225</v>
      </c>
      <c r="R133" s="73"/>
    </row>
    <row r="134" spans="2:19" ht="15" x14ac:dyDescent="0.15">
      <c r="B134" s="66" t="s">
        <v>226</v>
      </c>
      <c r="Q134" s="74"/>
      <c r="R134" s="73"/>
      <c r="S134" s="73"/>
    </row>
    <row r="135" spans="2:19" ht="15" x14ac:dyDescent="0.15">
      <c r="B135" s="66" t="s">
        <v>227</v>
      </c>
      <c r="Q135" s="74"/>
      <c r="R135" s="73"/>
      <c r="S135" s="73"/>
    </row>
    <row r="136" spans="2:19" x14ac:dyDescent="0.15">
      <c r="Q136" s="74"/>
      <c r="R136" s="73"/>
      <c r="S136" s="73"/>
    </row>
    <row r="137" spans="2:19" x14ac:dyDescent="0.15">
      <c r="Q137" s="74"/>
      <c r="R137" s="73"/>
      <c r="S137" s="73"/>
    </row>
    <row r="138" spans="2:19" ht="15" x14ac:dyDescent="0.15">
      <c r="B138" s="66" t="s">
        <v>228</v>
      </c>
      <c r="Q138" s="74"/>
      <c r="R138" s="73"/>
      <c r="S138" s="73"/>
    </row>
    <row r="139" spans="2:19" ht="15" x14ac:dyDescent="0.15">
      <c r="B139" s="66" t="s">
        <v>224</v>
      </c>
      <c r="Q139" s="74"/>
      <c r="R139" s="73"/>
      <c r="S139" s="73"/>
    </row>
    <row r="140" spans="2:19" ht="15" x14ac:dyDescent="0.15">
      <c r="B140" s="66" t="s">
        <v>225</v>
      </c>
      <c r="Q140" s="74"/>
      <c r="R140" s="73"/>
      <c r="S140" s="73"/>
    </row>
    <row r="141" spans="2:19" ht="15" x14ac:dyDescent="0.15">
      <c r="B141" s="66" t="s">
        <v>226</v>
      </c>
      <c r="Q141" s="74"/>
      <c r="R141" s="73"/>
      <c r="S141" s="73"/>
    </row>
    <row r="142" spans="2:19" ht="15" x14ac:dyDescent="0.15">
      <c r="B142" s="66" t="s">
        <v>227</v>
      </c>
      <c r="Q142" s="74"/>
      <c r="R142" s="73"/>
      <c r="S142" s="73"/>
    </row>
    <row r="143" spans="2:19" x14ac:dyDescent="0.15">
      <c r="Q143" s="74"/>
      <c r="R143" s="73"/>
      <c r="S143" s="73"/>
    </row>
    <row r="144" spans="2:19" x14ac:dyDescent="0.15">
      <c r="Q144" s="74"/>
      <c r="R144" s="73"/>
      <c r="S144" s="73"/>
    </row>
    <row r="145" spans="15:16" x14ac:dyDescent="0.15">
      <c r="P145" s="73"/>
    </row>
    <row r="146" spans="15:16" x14ac:dyDescent="0.15">
      <c r="O146" s="74"/>
      <c r="P146" s="73"/>
    </row>
    <row r="147" spans="15:16" x14ac:dyDescent="0.15">
      <c r="O147" s="74"/>
      <c r="P147" s="73"/>
    </row>
    <row r="148" spans="15:16" x14ac:dyDescent="0.15">
      <c r="O148" s="74"/>
      <c r="P148" s="73"/>
    </row>
    <row r="149" spans="15:16" x14ac:dyDescent="0.15">
      <c r="O149" s="74"/>
      <c r="P149" s="73"/>
    </row>
    <row r="150" spans="15:16" x14ac:dyDescent="0.15">
      <c r="O150" s="74"/>
      <c r="P150" s="73"/>
    </row>
    <row r="151" spans="15:16" x14ac:dyDescent="0.15">
      <c r="O151" s="74"/>
      <c r="P151" s="73"/>
    </row>
    <row r="152" spans="15:16" x14ac:dyDescent="0.15">
      <c r="O152" s="74"/>
      <c r="P152" s="73"/>
    </row>
    <row r="153" spans="15:16" x14ac:dyDescent="0.15">
      <c r="O153" s="74"/>
      <c r="P153" s="73"/>
    </row>
  </sheetData>
  <sheetProtection selectLockedCells="1"/>
  <mergeCells count="19">
    <mergeCell ref="A2:B3"/>
    <mergeCell ref="A4:P4"/>
    <mergeCell ref="A15:L15"/>
    <mergeCell ref="A19:L19"/>
    <mergeCell ref="A17:P17"/>
    <mergeCell ref="A21:P21"/>
    <mergeCell ref="A22:P22"/>
    <mergeCell ref="A5:P5"/>
    <mergeCell ref="O6:P6"/>
    <mergeCell ref="A8:A9"/>
    <mergeCell ref="A10:A11"/>
    <mergeCell ref="M6:N6"/>
    <mergeCell ref="A13:P13"/>
    <mergeCell ref="A18:P18"/>
    <mergeCell ref="A14:L14"/>
    <mergeCell ref="A12:P12"/>
    <mergeCell ref="A7:B7"/>
    <mergeCell ref="A16:P16"/>
    <mergeCell ref="A20:P20"/>
  </mergeCells>
  <dataValidations xWindow="1190" yWindow="514" count="6">
    <dataValidation allowBlank="1" showInputMessage="1" showErrorMessage="1" promptTitle="Don't touch these boxes!" prompt="You only need to enter length and height in the dark shaded boxes" sqref="M6:M11 B4 K7 O6:P11 K6:L6 N7:N11 B8:C11 A2 C6:J7 B6 G8:K11 C2:N4 A4:A22" xr:uid="{00000000-0002-0000-0200-000000000000}"/>
    <dataValidation type="whole" allowBlank="1" showInputMessage="1" showErrorMessage="1" errorTitle="Outside standard size range" error="Our standard minimum height is 240mm_x000a_Our standard maximum height is 2300mm_x000a_Outside these sizes, please contact Eskimo" promptTitle="Enter height" prompt="Enter vertical height in millimetres" sqref="E8:E9" xr:uid="{00000000-0002-0000-0200-000001000000}">
      <formula1>240</formula1>
      <formula2>2300</formula2>
    </dataValidation>
    <dataValidation type="whole" allowBlank="1" showInputMessage="1" showErrorMessage="1" errorTitle="Outside standard size range" error="The minimum length for hinge &amp; bracket is 430mm_x000a_Our standard maximum height is 2300mm_x000a_Outside these sizes, please contact Eskimo" promptTitle="Enter height" prompt="Enter vertical height in millimetres" sqref="E11" xr:uid="{00000000-0002-0000-0200-000002000000}">
      <formula1>430</formula1>
      <formula2>2300</formula2>
    </dataValidation>
    <dataValidation type="whole" allowBlank="1" showInputMessage="1" showErrorMessage="1" errorTitle="Outside standard size range" error="The minimum height for hinge &amp; bracket is 430mm_x000a_Our standard maximum height is 2300mm_x000a_Outside these sizes, please contact Eskimo" promptTitle="Enter height" prompt="Enter vertical height in millimetres" sqref="E10" xr:uid="{00000000-0002-0000-0200-000003000000}">
      <formula1>430</formula1>
      <formula2>2300</formula2>
    </dataValidation>
    <dataValidation type="whole" allowBlank="1" showInputMessage="1" showErrorMessage="1" errorTitle="Outside standard size range" error="The minimum length for hinge &amp; bracket is 430mm_x000a_Our standard maximum length is 2300mm_x000a_Outside these sizes, please contact Eskimo" promptTitle="Enter length" prompt="Enter horizontal length in millimetres" sqref="D10:D11" xr:uid="{00000000-0002-0000-0200-000004000000}">
      <formula1>430</formula1>
      <formula2>2300</formula2>
    </dataValidation>
    <dataValidation type="whole" allowBlank="1" showInputMessage="1" showErrorMessage="1" errorTitle="Outside standard size range" error="Our standard minimum length is 240mm_x000a_Our standard maximum length is 2300mm_x000a_Outside these sizes, please contact Eskimo" promptTitle="Enter length" prompt="Enter horizontal length in millimetres" sqref="D8:D9" xr:uid="{00000000-0002-0000-0200-000005000000}">
      <formula1>240</formula1>
      <formula2>2300</formula2>
    </dataValidation>
  </dataValidation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5744C-8B71-4D83-9D7F-E69D76E2DAE2}">
  <sheetPr codeName="Sheet4"/>
  <dimension ref="A1:AG48"/>
  <sheetViews>
    <sheetView topLeftCell="U22" workbookViewId="0">
      <selection activeCell="AB30" sqref="AB30"/>
    </sheetView>
  </sheetViews>
  <sheetFormatPr baseColWidth="10" defaultColWidth="9" defaultRowHeight="14" x14ac:dyDescent="0.15"/>
  <cols>
    <col min="1" max="1" width="30.796875" style="23" customWidth="1"/>
    <col min="2" max="4" width="9.19921875" style="23"/>
    <col min="5" max="5" width="33.19921875" style="23" customWidth="1"/>
    <col min="6" max="7" width="31.796875" style="23" customWidth="1"/>
    <col min="8" max="8" width="39.796875" style="23" customWidth="1"/>
    <col min="9" max="9" width="35" style="23" customWidth="1"/>
    <col min="10" max="10" width="37.3984375" style="23" customWidth="1"/>
    <col min="11" max="12" width="40.796875" style="23" customWidth="1"/>
    <col min="13" max="13" width="48.19921875" style="23" customWidth="1"/>
    <col min="14" max="14" width="22.796875" style="23" customWidth="1"/>
    <col min="15" max="15" width="27.796875" style="23" customWidth="1"/>
    <col min="16" max="16" width="20.3984375" style="23" customWidth="1"/>
    <col min="17" max="17" width="19.19921875" style="23" customWidth="1"/>
    <col min="18" max="18" width="21.3984375" style="23" customWidth="1"/>
    <col min="19" max="19" width="20.3984375" style="23" customWidth="1"/>
    <col min="20" max="20" width="21" style="23" customWidth="1"/>
    <col min="21" max="21" width="24.3984375" style="23" customWidth="1"/>
    <col min="22" max="22" width="31.3984375" style="23" customWidth="1"/>
    <col min="23" max="23" width="18.3984375" style="23" customWidth="1"/>
    <col min="24" max="24" width="16.3984375" style="23" customWidth="1"/>
    <col min="25" max="29" width="9.19921875" style="23"/>
    <col min="30" max="30" width="19.796875" style="23" customWidth="1"/>
    <col min="31" max="31" width="13.19921875" style="16" customWidth="1"/>
    <col min="32" max="33" width="9.19921875" style="16"/>
  </cols>
  <sheetData>
    <row r="1" spans="1:33" ht="30" x14ac:dyDescent="0.15">
      <c r="A1" s="22" t="s">
        <v>168</v>
      </c>
      <c r="B1" s="23" t="s">
        <v>169</v>
      </c>
      <c r="C1" s="23" t="s">
        <v>170</v>
      </c>
      <c r="D1" s="23" t="s">
        <v>162</v>
      </c>
      <c r="E1" s="23" t="s">
        <v>171</v>
      </c>
      <c r="F1" s="23" t="s">
        <v>172</v>
      </c>
      <c r="G1" s="23" t="s">
        <v>173</v>
      </c>
      <c r="H1" s="23" t="s">
        <v>174</v>
      </c>
      <c r="I1" s="23" t="s">
        <v>175</v>
      </c>
      <c r="J1" s="23" t="s">
        <v>176</v>
      </c>
      <c r="K1" s="23" t="s">
        <v>177</v>
      </c>
      <c r="L1" s="23" t="s">
        <v>178</v>
      </c>
      <c r="M1" s="23" t="s">
        <v>179</v>
      </c>
      <c r="N1" s="23" t="s">
        <v>180</v>
      </c>
      <c r="O1" s="23" t="s">
        <v>181</v>
      </c>
      <c r="P1" s="23" t="s">
        <v>182</v>
      </c>
      <c r="Q1" s="23" t="s">
        <v>183</v>
      </c>
      <c r="R1" s="23" t="s">
        <v>184</v>
      </c>
      <c r="S1" s="23" t="s">
        <v>185</v>
      </c>
      <c r="T1" s="23" t="s">
        <v>186</v>
      </c>
      <c r="U1" s="23" t="s">
        <v>187</v>
      </c>
      <c r="V1" s="23" t="s">
        <v>188</v>
      </c>
      <c r="W1" s="23" t="s">
        <v>189</v>
      </c>
      <c r="X1" s="23" t="s">
        <v>190</v>
      </c>
      <c r="AF1" s="16" t="s">
        <v>165</v>
      </c>
    </row>
    <row r="2" spans="1:33" ht="15" x14ac:dyDescent="0.15">
      <c r="A2" s="23" t="s">
        <v>166</v>
      </c>
      <c r="B2" s="18">
        <f>'OUTLINE RANGE BESPOKE SIZE CALC'!D8</f>
        <v>2000</v>
      </c>
      <c r="C2" s="18">
        <f>'OUTLINE RANGE BESPOKE SIZE CALC'!E8</f>
        <v>600</v>
      </c>
      <c r="D2" s="23">
        <v>50</v>
      </c>
      <c r="E2" s="23">
        <f>ROUNDDOWN(I2/93,0)</f>
        <v>21</v>
      </c>
      <c r="F2" s="23">
        <f>C2-115</f>
        <v>485</v>
      </c>
      <c r="G2" s="23">
        <f>M2*F2/1000</f>
        <v>10.185</v>
      </c>
      <c r="H2" s="23">
        <f>B2-54</f>
        <v>1946</v>
      </c>
      <c r="I2" s="23">
        <f>B2-3</f>
        <v>1997</v>
      </c>
      <c r="J2" s="23">
        <f>E2*93-1</f>
        <v>1952</v>
      </c>
      <c r="K2" s="23">
        <f>(I2-J2)/2</f>
        <v>22.5</v>
      </c>
      <c r="L2" s="23">
        <v>18</v>
      </c>
      <c r="M2" s="23">
        <f>IF(K2&lt;L2,(E2-1),IF(K2&gt;=L2,E2))</f>
        <v>21</v>
      </c>
      <c r="N2" s="23">
        <f>IF(AD10&lt;AE10,(AE10),IF(AD10&gt;=AE10,(AD10)))</f>
        <v>4</v>
      </c>
      <c r="O2" s="23">
        <f>F2+107</f>
        <v>592</v>
      </c>
      <c r="P2" s="23">
        <f>N2*O2/1000</f>
        <v>2.3679999999999999</v>
      </c>
      <c r="Q2" s="23">
        <f>$M2*2</f>
        <v>42</v>
      </c>
      <c r="R2" s="23">
        <f>$N2*2</f>
        <v>8</v>
      </c>
      <c r="S2" s="23">
        <f>$N2*2</f>
        <v>8</v>
      </c>
      <c r="T2" s="23">
        <v>4</v>
      </c>
      <c r="U2" s="23">
        <f>$M2*2</f>
        <v>42</v>
      </c>
      <c r="V2" s="23">
        <f>$M2*2</f>
        <v>42</v>
      </c>
      <c r="W2" s="23">
        <v>2</v>
      </c>
      <c r="X2" s="23">
        <f>S2</f>
        <v>8</v>
      </c>
      <c r="AF2" s="17">
        <f>W8</f>
        <v>308.71551999999997</v>
      </c>
      <c r="AG2" s="17">
        <f>AF2*3.7</f>
        <v>1142.2474239999999</v>
      </c>
    </row>
    <row r="3" spans="1:33" x14ac:dyDescent="0.15">
      <c r="B3" s="18"/>
      <c r="C3" s="18"/>
      <c r="AF3" s="17">
        <f>W9</f>
        <v>406.48431999999997</v>
      </c>
      <c r="AG3" s="17">
        <f>AF3*3.7</f>
        <v>1503.991984</v>
      </c>
    </row>
    <row r="4" spans="1:33" ht="15" x14ac:dyDescent="0.15">
      <c r="A4" s="23" t="s">
        <v>167</v>
      </c>
      <c r="B4" s="18">
        <f>'OUTLINE RANGE BESPOKE SIZE CALC'!D9</f>
        <v>2000</v>
      </c>
      <c r="C4" s="18">
        <f>'OUTLINE RANGE BESPOKE SIZE CALC'!E9</f>
        <v>600</v>
      </c>
      <c r="D4" s="23">
        <v>95</v>
      </c>
      <c r="E4" s="23">
        <f>ROUNDDOWN(I4/49,0)</f>
        <v>40</v>
      </c>
      <c r="F4" s="23">
        <f>C4-115</f>
        <v>485</v>
      </c>
      <c r="G4" s="19">
        <f>M4*F4/1000</f>
        <v>18.914999999999999</v>
      </c>
      <c r="H4" s="23">
        <f>B4-54</f>
        <v>1946</v>
      </c>
      <c r="I4" s="23">
        <f>B4-3</f>
        <v>1997</v>
      </c>
      <c r="J4" s="23">
        <f>E4*49-1</f>
        <v>1959</v>
      </c>
      <c r="K4" s="23">
        <f>(I4-J4)/2</f>
        <v>19</v>
      </c>
      <c r="L4" s="23">
        <v>20</v>
      </c>
      <c r="M4" s="23">
        <f>IF(K4&lt;L4,(E4-1),IF(K4&gt;=L4,E4))</f>
        <v>39</v>
      </c>
      <c r="N4" s="23">
        <f>IF(AD12&lt;AE12,(AE12),IF(AD12&gt;=AE12,(AD12)))</f>
        <v>4</v>
      </c>
      <c r="O4" s="23">
        <f>F4+107</f>
        <v>592</v>
      </c>
      <c r="P4" s="23">
        <f>N4*O4/1000</f>
        <v>2.3679999999999999</v>
      </c>
      <c r="Q4" s="23">
        <f>$M4*2</f>
        <v>78</v>
      </c>
      <c r="R4" s="23">
        <f>$N4*2</f>
        <v>8</v>
      </c>
      <c r="S4" s="23">
        <f>$N4*2</f>
        <v>8</v>
      </c>
      <c r="T4" s="23">
        <v>4</v>
      </c>
      <c r="U4" s="23">
        <f>$M4*2</f>
        <v>78</v>
      </c>
      <c r="V4" s="23">
        <f>$M4*2</f>
        <v>78</v>
      </c>
      <c r="W4" s="23">
        <v>2</v>
      </c>
      <c r="X4" s="23">
        <f>S4</f>
        <v>8</v>
      </c>
      <c r="AF4" s="17"/>
      <c r="AG4" s="17"/>
    </row>
    <row r="5" spans="1:33" x14ac:dyDescent="0.15">
      <c r="AF5" s="17"/>
      <c r="AG5" s="17"/>
    </row>
    <row r="6" spans="1:33" ht="45" x14ac:dyDescent="0.15">
      <c r="A6" s="22" t="s">
        <v>192</v>
      </c>
      <c r="B6" s="23" t="str">
        <f>B1</f>
        <v>length (x)</v>
      </c>
      <c r="C6" s="23" t="str">
        <f>C1</f>
        <v>height (y)</v>
      </c>
      <c r="D6" s="23" t="str">
        <f>D1</f>
        <v>depth (z)</v>
      </c>
      <c r="E6" s="23" t="s">
        <v>193</v>
      </c>
      <c r="F6" s="23" t="s">
        <v>194</v>
      </c>
      <c r="G6" s="23" t="s">
        <v>195</v>
      </c>
      <c r="H6" s="23" t="s">
        <v>196</v>
      </c>
      <c r="I6" s="23" t="s">
        <v>197</v>
      </c>
      <c r="J6" s="23" t="s">
        <v>198</v>
      </c>
      <c r="K6" s="23" t="s">
        <v>199</v>
      </c>
      <c r="L6" s="23" t="s">
        <v>200</v>
      </c>
      <c r="M6" s="23" t="s">
        <v>201</v>
      </c>
      <c r="N6" s="23" t="s">
        <v>202</v>
      </c>
      <c r="O6" s="23" t="s">
        <v>203</v>
      </c>
      <c r="P6" s="23" t="s">
        <v>204</v>
      </c>
      <c r="Q6" s="23" t="s">
        <v>205</v>
      </c>
      <c r="R6" s="23" t="s">
        <v>206</v>
      </c>
      <c r="S6" s="23" t="s">
        <v>207</v>
      </c>
      <c r="T6" s="23" t="s">
        <v>208</v>
      </c>
      <c r="U6" s="23" t="s">
        <v>209</v>
      </c>
      <c r="V6" s="23" t="s">
        <v>210</v>
      </c>
      <c r="W6" s="22" t="s">
        <v>211</v>
      </c>
      <c r="AF6" s="17"/>
      <c r="AG6" s="17"/>
    </row>
    <row r="7" spans="1:33" ht="15" x14ac:dyDescent="0.15">
      <c r="A7" s="23" t="s">
        <v>212</v>
      </c>
      <c r="E7" s="23">
        <v>4.5599999999999996</v>
      </c>
      <c r="F7" s="19">
        <v>2.86</v>
      </c>
      <c r="G7" s="23">
        <v>0.3</v>
      </c>
      <c r="H7" s="19">
        <f>0.35</f>
        <v>0.35</v>
      </c>
      <c r="I7" s="19">
        <v>0.5</v>
      </c>
      <c r="J7" s="23">
        <v>1.5</v>
      </c>
      <c r="K7" s="23">
        <v>0.25</v>
      </c>
      <c r="L7" s="23">
        <f>0.7+0.0735</f>
        <v>0.77349999999999997</v>
      </c>
      <c r="M7" s="23">
        <f>0.065+0.7</f>
        <v>0.7649999999999999</v>
      </c>
      <c r="N7" s="23">
        <v>100</v>
      </c>
      <c r="O7" s="23">
        <v>1</v>
      </c>
      <c r="P7" s="23">
        <v>0.06</v>
      </c>
      <c r="Q7" s="23">
        <v>20</v>
      </c>
      <c r="R7" s="23">
        <v>15</v>
      </c>
      <c r="S7" s="23">
        <v>6</v>
      </c>
      <c r="T7" s="23">
        <v>0.65200000000000002</v>
      </c>
      <c r="U7" s="23">
        <f>45/100</f>
        <v>0.45</v>
      </c>
      <c r="V7" s="23">
        <v>0.03</v>
      </c>
    </row>
    <row r="8" spans="1:33" ht="15" x14ac:dyDescent="0.15">
      <c r="A8" s="23" t="s">
        <v>166</v>
      </c>
      <c r="B8" s="18">
        <f>B2</f>
        <v>2000</v>
      </c>
      <c r="C8" s="18">
        <f>C2</f>
        <v>600</v>
      </c>
      <c r="D8" s="23">
        <f>D2</f>
        <v>50</v>
      </c>
      <c r="E8" s="19">
        <f>E$7*G2</f>
        <v>46.443599999999996</v>
      </c>
      <c r="F8" s="19">
        <f>(H2/1000)*F$7*2</f>
        <v>11.131119999999999</v>
      </c>
      <c r="G8" s="19">
        <f>M2*2*G$7</f>
        <v>12.6</v>
      </c>
      <c r="H8" s="19">
        <f>H$7*P2</f>
        <v>0.82879999999999987</v>
      </c>
      <c r="I8" s="19">
        <f>N2*I$7*2</f>
        <v>4</v>
      </c>
      <c r="J8" s="23">
        <f>J$7*T2</f>
        <v>6</v>
      </c>
      <c r="K8" s="19">
        <f>K$7*Q2</f>
        <v>10.5</v>
      </c>
      <c r="L8" s="19">
        <f>L$7*R2</f>
        <v>6.1879999999999997</v>
      </c>
      <c r="M8" s="19">
        <f>M$7*T2</f>
        <v>3.0599999999999996</v>
      </c>
      <c r="N8" s="20">
        <f>(B8*C8)/(1000*1000)*N$7</f>
        <v>120</v>
      </c>
      <c r="O8" s="23">
        <f>O$7*U2</f>
        <v>42</v>
      </c>
      <c r="P8" s="23">
        <f>P$7*V2</f>
        <v>2.52</v>
      </c>
      <c r="Q8" s="23">
        <f>Q$7</f>
        <v>20</v>
      </c>
      <c r="R8" s="23">
        <f>R$7</f>
        <v>15</v>
      </c>
      <c r="S8" s="23">
        <v>6</v>
      </c>
      <c r="T8" s="23">
        <f>T$7*W2</f>
        <v>1.304</v>
      </c>
      <c r="U8" s="23">
        <f>U$7*W2</f>
        <v>0.9</v>
      </c>
      <c r="V8" s="23">
        <f>X2*V$7</f>
        <v>0.24</v>
      </c>
      <c r="W8" s="19">
        <f>SUM(E8:V8)</f>
        <v>308.71551999999997</v>
      </c>
      <c r="X8" s="19"/>
    </row>
    <row r="9" spans="1:33" ht="45" x14ac:dyDescent="0.15">
      <c r="A9" s="23" t="s">
        <v>167</v>
      </c>
      <c r="B9" s="18">
        <f>B4</f>
        <v>2000</v>
      </c>
      <c r="C9" s="18">
        <f>C4</f>
        <v>600</v>
      </c>
      <c r="D9" s="23">
        <f>D4</f>
        <v>95</v>
      </c>
      <c r="E9" s="19">
        <f>E$7*G4</f>
        <v>86.252399999999994</v>
      </c>
      <c r="F9" s="19">
        <f>(H4/1000)*F$7*2</f>
        <v>11.131119999999999</v>
      </c>
      <c r="G9" s="19">
        <f>M4*2*G$7</f>
        <v>23.4</v>
      </c>
      <c r="H9" s="19">
        <f>H$7*P4</f>
        <v>0.82879999999999987</v>
      </c>
      <c r="I9" s="19">
        <f>N4*I$7*2</f>
        <v>4</v>
      </c>
      <c r="J9" s="23">
        <f>J$7*T4</f>
        <v>6</v>
      </c>
      <c r="K9" s="19">
        <f>K$7*Q4</f>
        <v>19.5</v>
      </c>
      <c r="L9" s="19">
        <f>L$7*R4</f>
        <v>6.1879999999999997</v>
      </c>
      <c r="M9" s="19">
        <f>M$7*T4</f>
        <v>3.0599999999999996</v>
      </c>
      <c r="N9" s="23">
        <f>(B9*C9)/(1000*1000)*N$7</f>
        <v>120</v>
      </c>
      <c r="O9" s="23">
        <f>O$7*U4</f>
        <v>78</v>
      </c>
      <c r="P9" s="23">
        <f>P$7*V4</f>
        <v>4.68</v>
      </c>
      <c r="Q9" s="23">
        <f>Q$7</f>
        <v>20</v>
      </c>
      <c r="R9" s="23">
        <f>R$7</f>
        <v>15</v>
      </c>
      <c r="S9" s="23">
        <v>6</v>
      </c>
      <c r="T9" s="23">
        <f>T$7*W4</f>
        <v>1.304</v>
      </c>
      <c r="U9" s="23">
        <f>U$7*W4</f>
        <v>0.9</v>
      </c>
      <c r="V9" s="23">
        <f>X4*V$7</f>
        <v>0.24</v>
      </c>
      <c r="W9" s="19">
        <f>SUM(E9:V9)</f>
        <v>406.48431999999997</v>
      </c>
      <c r="X9" s="19"/>
      <c r="AD9" s="23" t="s">
        <v>180</v>
      </c>
      <c r="AE9" s="16" t="s">
        <v>191</v>
      </c>
    </row>
    <row r="10" spans="1:33" x14ac:dyDescent="0.15">
      <c r="B10" s="19"/>
      <c r="AD10" s="23">
        <f>ROUNDUP(H2/500,0)</f>
        <v>4</v>
      </c>
      <c r="AE10" s="16">
        <v>2</v>
      </c>
    </row>
    <row r="11" spans="1:33" ht="30" x14ac:dyDescent="0.15">
      <c r="A11" s="22" t="s">
        <v>213</v>
      </c>
      <c r="B11" s="19" t="str">
        <f t="shared" ref="B11:D12" si="0">B1</f>
        <v>length (x)</v>
      </c>
      <c r="C11" s="19" t="str">
        <f t="shared" si="0"/>
        <v>height (y)</v>
      </c>
      <c r="D11" s="19" t="str">
        <f t="shared" si="0"/>
        <v>depth (z)</v>
      </c>
      <c r="E11" s="23" t="s">
        <v>214</v>
      </c>
      <c r="F11" s="23" t="s">
        <v>215</v>
      </c>
      <c r="G11" s="23" t="s">
        <v>216</v>
      </c>
      <c r="H11" s="23" t="s">
        <v>217</v>
      </c>
    </row>
    <row r="12" spans="1:33" x14ac:dyDescent="0.15">
      <c r="B12" s="21">
        <f t="shared" si="0"/>
        <v>2000</v>
      </c>
      <c r="C12" s="21">
        <f t="shared" si="0"/>
        <v>600</v>
      </c>
      <c r="D12" s="20">
        <f t="shared" si="0"/>
        <v>50</v>
      </c>
      <c r="E12" s="23">
        <v>0.56699999999999995</v>
      </c>
      <c r="F12" s="19">
        <f>E12*G2</f>
        <v>5.7748949999999999</v>
      </c>
      <c r="G12" s="20">
        <v>375</v>
      </c>
      <c r="H12" s="20">
        <f>G12*F12</f>
        <v>2165.5856250000002</v>
      </c>
      <c r="AD12" s="23">
        <f>ROUNDUP(H4/500,0)</f>
        <v>4</v>
      </c>
      <c r="AE12" s="16">
        <v>2</v>
      </c>
    </row>
    <row r="13" spans="1:33" x14ac:dyDescent="0.15">
      <c r="B13" s="21">
        <f>B4</f>
        <v>2000</v>
      </c>
      <c r="C13" s="21">
        <f>C4</f>
        <v>600</v>
      </c>
      <c r="D13" s="20">
        <f>D4</f>
        <v>95</v>
      </c>
      <c r="E13" s="23">
        <v>0.56699999999999995</v>
      </c>
      <c r="F13" s="19">
        <f>E13*G4</f>
        <v>10.724804999999998</v>
      </c>
      <c r="G13" s="20">
        <v>375</v>
      </c>
      <c r="H13" s="20">
        <f>G13*F13</f>
        <v>4021.8018749999992</v>
      </c>
    </row>
    <row r="14" spans="1:33" x14ac:dyDescent="0.15">
      <c r="B14" s="19"/>
      <c r="G14" s="19"/>
      <c r="I14" s="20"/>
      <c r="K14" s="23">
        <v>1700</v>
      </c>
      <c r="L14" s="20">
        <f>K14*3.4121813</f>
        <v>5800.7082099999998</v>
      </c>
    </row>
    <row r="15" spans="1:33" ht="15" x14ac:dyDescent="0.15">
      <c r="A15" s="22" t="s">
        <v>218</v>
      </c>
      <c r="H15" s="20"/>
      <c r="I15" s="20"/>
    </row>
    <row r="16" spans="1:33" ht="15" x14ac:dyDescent="0.15">
      <c r="E16" s="23" t="s">
        <v>219</v>
      </c>
      <c r="H16" s="20"/>
      <c r="I16" s="20"/>
    </row>
    <row r="17" spans="1:31" ht="30" x14ac:dyDescent="0.15">
      <c r="B17" s="23" t="str">
        <f>B1</f>
        <v>length (x)</v>
      </c>
      <c r="C17" s="23" t="str">
        <f>C1</f>
        <v>height (y)</v>
      </c>
      <c r="D17" s="23" t="str">
        <f>D1</f>
        <v>depth (z)</v>
      </c>
      <c r="E17" s="23" t="s">
        <v>220</v>
      </c>
      <c r="F17" s="23" t="s">
        <v>221</v>
      </c>
      <c r="G17" s="23" t="s">
        <v>222</v>
      </c>
    </row>
    <row r="18" spans="1:31" ht="15" x14ac:dyDescent="0.15">
      <c r="A18" s="23" t="s">
        <v>166</v>
      </c>
      <c r="B18" s="23">
        <f>'OUTLINE RANGE BESPOKE SIZE CALC'!D8</f>
        <v>2000</v>
      </c>
      <c r="C18" s="23">
        <f>'OUTLINE RANGE BESPOKE SIZE CALC'!E8</f>
        <v>600</v>
      </c>
      <c r="D18" s="23">
        <f>D2</f>
        <v>50</v>
      </c>
      <c r="E18" s="23">
        <f t="shared" ref="E18:G19" si="1">B18</f>
        <v>2000</v>
      </c>
      <c r="F18" s="23">
        <f t="shared" si="1"/>
        <v>600</v>
      </c>
      <c r="G18" s="23">
        <f t="shared" si="1"/>
        <v>50</v>
      </c>
    </row>
    <row r="19" spans="1:31" ht="15" x14ac:dyDescent="0.15">
      <c r="A19" s="23" t="s">
        <v>167</v>
      </c>
      <c r="B19" s="23">
        <f>'OUTLINE RANGE BESPOKE SIZE CALC'!D9</f>
        <v>2000</v>
      </c>
      <c r="C19" s="23">
        <f>'OUTLINE RANGE BESPOKE SIZE CALC'!E9</f>
        <v>600</v>
      </c>
      <c r="D19" s="23">
        <f>D4</f>
        <v>95</v>
      </c>
      <c r="E19" s="23">
        <f t="shared" si="1"/>
        <v>2000</v>
      </c>
      <c r="F19" s="23">
        <f t="shared" si="1"/>
        <v>600</v>
      </c>
      <c r="G19" s="23">
        <f t="shared" si="1"/>
        <v>95</v>
      </c>
    </row>
    <row r="22" spans="1:31" ht="60" x14ac:dyDescent="0.15">
      <c r="A22" s="22" t="s">
        <v>168</v>
      </c>
      <c r="B22" s="23" t="s">
        <v>169</v>
      </c>
      <c r="C22" s="23" t="s">
        <v>170</v>
      </c>
      <c r="D22" s="23" t="s">
        <v>162</v>
      </c>
      <c r="E22" s="23" t="s">
        <v>171</v>
      </c>
      <c r="F22" s="23" t="s">
        <v>172</v>
      </c>
      <c r="H22" s="23" t="s">
        <v>173</v>
      </c>
      <c r="I22" s="23" t="s">
        <v>174</v>
      </c>
      <c r="J22" s="23" t="s">
        <v>175</v>
      </c>
      <c r="K22" s="23" t="s">
        <v>176</v>
      </c>
      <c r="L22" s="23" t="s">
        <v>177</v>
      </c>
      <c r="M22" s="23" t="s">
        <v>178</v>
      </c>
      <c r="N22" s="23" t="s">
        <v>179</v>
      </c>
      <c r="O22" s="23" t="s">
        <v>180</v>
      </c>
      <c r="P22" s="23" t="s">
        <v>181</v>
      </c>
      <c r="Q22" s="23" t="s">
        <v>182</v>
      </c>
      <c r="R22" s="23" t="s">
        <v>183</v>
      </c>
      <c r="S22" s="23" t="s">
        <v>184</v>
      </c>
      <c r="T22" s="23" t="s">
        <v>185</v>
      </c>
      <c r="U22" s="23" t="s">
        <v>186</v>
      </c>
      <c r="V22" s="23" t="s">
        <v>187</v>
      </c>
      <c r="W22" s="23" t="s">
        <v>188</v>
      </c>
      <c r="X22" s="23" t="s">
        <v>189</v>
      </c>
      <c r="Y22" s="23" t="s">
        <v>190</v>
      </c>
    </row>
    <row r="23" spans="1:31" ht="15" x14ac:dyDescent="0.15">
      <c r="A23" s="23" t="s">
        <v>166</v>
      </c>
      <c r="B23" s="23">
        <f>'OUTLINE RANGE BESPOKE SIZE CALC'!D10</f>
        <v>2100</v>
      </c>
      <c r="C23" s="23">
        <f>'OUTLINE RANGE BESPOKE SIZE CALC'!E10</f>
        <v>700</v>
      </c>
      <c r="D23" s="23">
        <v>50</v>
      </c>
      <c r="E23" s="23">
        <f>ROUNDDOWN(J23/93,0)</f>
        <v>22</v>
      </c>
      <c r="F23" s="23">
        <f>C23-115-120</f>
        <v>465</v>
      </c>
      <c r="G23" s="23">
        <f>N23*((C23-115)/1000)</f>
        <v>12.87</v>
      </c>
      <c r="H23" s="23">
        <f>N23*F23/1000</f>
        <v>10.23</v>
      </c>
      <c r="I23" s="23">
        <f>B23-54</f>
        <v>2046</v>
      </c>
      <c r="J23" s="23">
        <f>B23-3</f>
        <v>2097</v>
      </c>
      <c r="K23" s="23">
        <f>E23*93-1</f>
        <v>2045</v>
      </c>
      <c r="L23" s="23">
        <f>(J23-K23)/2</f>
        <v>26</v>
      </c>
      <c r="M23" s="23">
        <v>18</v>
      </c>
      <c r="N23" s="23">
        <f>IF(L23&lt;M23,(E23-1),IF(L23&gt;=M23,E23))</f>
        <v>22</v>
      </c>
      <c r="O23" s="23">
        <f>IF(AD26&lt;AE26,(AE26),IF(AD26&gt;=AE26,(AD26)))</f>
        <v>5</v>
      </c>
      <c r="P23" s="23">
        <f>F23+107+120</f>
        <v>692</v>
      </c>
      <c r="Q23" s="23">
        <f>O23*P23/1000</f>
        <v>3.46</v>
      </c>
      <c r="R23" s="23">
        <f>$N23*2</f>
        <v>44</v>
      </c>
      <c r="S23" s="23">
        <f>$O23*2</f>
        <v>10</v>
      </c>
      <c r="T23" s="23">
        <f>$O23*2</f>
        <v>10</v>
      </c>
      <c r="U23" s="23">
        <v>4</v>
      </c>
      <c r="V23" s="23">
        <f>$N23*2</f>
        <v>44</v>
      </c>
      <c r="W23" s="23">
        <f>$N23*2</f>
        <v>44</v>
      </c>
      <c r="X23" s="23">
        <v>2</v>
      </c>
      <c r="Y23" s="23">
        <f>T23</f>
        <v>10</v>
      </c>
    </row>
    <row r="24" spans="1:31" ht="15" x14ac:dyDescent="0.15">
      <c r="A24" s="23" t="s">
        <v>167</v>
      </c>
      <c r="B24" s="23">
        <f>'OUTLINE RANGE BESPOKE SIZE CALC'!D11</f>
        <v>1958</v>
      </c>
      <c r="C24" s="23">
        <f>'OUTLINE RANGE BESPOKE SIZE CALC'!E11</f>
        <v>492</v>
      </c>
      <c r="D24" s="23">
        <v>95</v>
      </c>
      <c r="E24" s="23">
        <f>ROUNDDOWN(J24/49,0)</f>
        <v>39</v>
      </c>
      <c r="F24" s="23">
        <f>C24-115-120</f>
        <v>257</v>
      </c>
      <c r="G24" s="19">
        <f>N24*((C24-115)/1000)</f>
        <v>14.702999999999999</v>
      </c>
      <c r="H24" s="23">
        <f>N24*F24/1000</f>
        <v>10.023</v>
      </c>
      <c r="I24" s="23">
        <f>B24-54</f>
        <v>1904</v>
      </c>
      <c r="J24" s="23">
        <f>B24-3</f>
        <v>1955</v>
      </c>
      <c r="K24" s="23">
        <f>E24*49-1</f>
        <v>1910</v>
      </c>
      <c r="L24" s="23">
        <f>(J24-K24)/2</f>
        <v>22.5</v>
      </c>
      <c r="M24" s="23">
        <v>20</v>
      </c>
      <c r="N24" s="23">
        <f>IF(L24&lt;M24,(E24-1),IF(L24&gt;=M24,E24))</f>
        <v>39</v>
      </c>
      <c r="O24" s="23">
        <f>IF(AD27&lt;AE27,(AE27),IF(AD27&gt;=AE27,(AD27)))</f>
        <v>4</v>
      </c>
      <c r="P24" s="23">
        <f>F24+107+120</f>
        <v>484</v>
      </c>
      <c r="Q24" s="23">
        <f>O24*P24/1000</f>
        <v>1.9359999999999999</v>
      </c>
      <c r="R24" s="23">
        <f>$N24*2</f>
        <v>78</v>
      </c>
      <c r="S24" s="23">
        <f>$O24*2</f>
        <v>8</v>
      </c>
      <c r="T24" s="23">
        <f>$O24*2</f>
        <v>8</v>
      </c>
      <c r="U24" s="23">
        <v>4</v>
      </c>
      <c r="V24" s="23">
        <f>$N24*2</f>
        <v>78</v>
      </c>
      <c r="W24" s="23">
        <f>$N24*2</f>
        <v>78</v>
      </c>
      <c r="X24" s="23">
        <v>2</v>
      </c>
      <c r="Y24" s="23">
        <f>T24</f>
        <v>8</v>
      </c>
    </row>
    <row r="25" spans="1:31" ht="60" x14ac:dyDescent="0.15">
      <c r="AC25" s="23" t="s">
        <v>180</v>
      </c>
      <c r="AD25" s="23" t="s">
        <v>180</v>
      </c>
      <c r="AE25" s="16" t="s">
        <v>191</v>
      </c>
    </row>
    <row r="26" spans="1:31" ht="45" x14ac:dyDescent="0.15">
      <c r="A26" s="22" t="s">
        <v>192</v>
      </c>
      <c r="B26" s="23" t="str">
        <f>B22</f>
        <v>length (x)</v>
      </c>
      <c r="C26" s="23" t="str">
        <f>C22</f>
        <v>height (y)</v>
      </c>
      <c r="D26" s="23" t="str">
        <f>D22</f>
        <v>depth (z)</v>
      </c>
      <c r="E26" s="23" t="s">
        <v>193</v>
      </c>
      <c r="F26" s="23" t="s">
        <v>194</v>
      </c>
      <c r="G26" s="23" t="s">
        <v>195</v>
      </c>
      <c r="H26" s="23" t="s">
        <v>196</v>
      </c>
      <c r="I26" s="23" t="s">
        <v>197</v>
      </c>
      <c r="J26" s="23" t="s">
        <v>198</v>
      </c>
      <c r="K26" s="23" t="s">
        <v>199</v>
      </c>
      <c r="L26" s="23" t="s">
        <v>200</v>
      </c>
      <c r="M26" s="23" t="s">
        <v>201</v>
      </c>
      <c r="N26" s="23" t="s">
        <v>202</v>
      </c>
      <c r="O26" s="23" t="s">
        <v>203</v>
      </c>
      <c r="P26" s="23" t="s">
        <v>204</v>
      </c>
      <c r="Q26" s="23" t="s">
        <v>205</v>
      </c>
      <c r="R26" s="23" t="s">
        <v>206</v>
      </c>
      <c r="S26" s="23" t="s">
        <v>207</v>
      </c>
      <c r="T26" s="23" t="s">
        <v>208</v>
      </c>
      <c r="U26" s="23" t="s">
        <v>209</v>
      </c>
      <c r="V26" s="23" t="s">
        <v>210</v>
      </c>
      <c r="W26" s="22" t="s">
        <v>211</v>
      </c>
      <c r="AC26" s="23">
        <f>ROUNDUP(H32/500,0)</f>
        <v>5</v>
      </c>
      <c r="AD26" s="23">
        <f>ROUNDUP(I23/500,0)</f>
        <v>5</v>
      </c>
      <c r="AE26" s="16">
        <v>2</v>
      </c>
    </row>
    <row r="27" spans="1:31" ht="15" x14ac:dyDescent="0.15">
      <c r="A27" s="23" t="s">
        <v>212</v>
      </c>
      <c r="E27" s="23">
        <v>4.5599999999999996</v>
      </c>
      <c r="F27" s="19">
        <v>2.86</v>
      </c>
      <c r="G27" s="23">
        <v>0.3</v>
      </c>
      <c r="H27" s="19">
        <f>0.35</f>
        <v>0.35</v>
      </c>
      <c r="I27" s="19">
        <v>0.5</v>
      </c>
      <c r="J27" s="23">
        <v>1.5</v>
      </c>
      <c r="K27" s="23">
        <v>0.25</v>
      </c>
      <c r="L27" s="23">
        <f>0.7+0.0735</f>
        <v>0.77349999999999997</v>
      </c>
      <c r="M27" s="23">
        <f>0.065+0.7</f>
        <v>0.7649999999999999</v>
      </c>
      <c r="N27" s="23">
        <v>100</v>
      </c>
      <c r="O27" s="23">
        <v>1</v>
      </c>
      <c r="P27" s="23">
        <v>0.06</v>
      </c>
      <c r="Q27" s="23">
        <v>20</v>
      </c>
      <c r="R27" s="23">
        <v>15</v>
      </c>
      <c r="S27" s="23">
        <v>6</v>
      </c>
      <c r="T27" s="23">
        <v>0.65200000000000002</v>
      </c>
      <c r="U27" s="23">
        <f>45/100</f>
        <v>0.45</v>
      </c>
      <c r="V27" s="23">
        <v>0.03</v>
      </c>
      <c r="AC27" s="23">
        <f>ROUNDUP(H33/500,0)</f>
        <v>4</v>
      </c>
      <c r="AD27" s="23">
        <f>ROUNDUP(I24/500,0)</f>
        <v>4</v>
      </c>
      <c r="AE27" s="16">
        <v>2</v>
      </c>
    </row>
    <row r="28" spans="1:31" ht="15" x14ac:dyDescent="0.15">
      <c r="A28" s="23" t="s">
        <v>166</v>
      </c>
      <c r="B28" s="18">
        <f t="shared" ref="B28:D29" si="2">B23</f>
        <v>2100</v>
      </c>
      <c r="C28" s="18">
        <f t="shared" si="2"/>
        <v>700</v>
      </c>
      <c r="D28" s="23">
        <f t="shared" si="2"/>
        <v>50</v>
      </c>
      <c r="E28" s="19">
        <f>E$7*G23</f>
        <v>58.68719999999999</v>
      </c>
      <c r="F28" s="19">
        <f>(I23/1000)*F$7*2</f>
        <v>11.703119999999998</v>
      </c>
      <c r="G28" s="19">
        <f>N23*2*G$7</f>
        <v>13.2</v>
      </c>
      <c r="H28" s="19">
        <f>H$7*Q23</f>
        <v>1.2109999999999999</v>
      </c>
      <c r="I28" s="19">
        <f>O23*I$7*2</f>
        <v>5</v>
      </c>
      <c r="J28" s="23">
        <f>J$7*U23</f>
        <v>6</v>
      </c>
      <c r="K28" s="19">
        <f>K$7*R23</f>
        <v>11</v>
      </c>
      <c r="L28" s="19">
        <f>L$7*S23</f>
        <v>7.7349999999999994</v>
      </c>
      <c r="M28" s="19">
        <f>M$7*U23</f>
        <v>3.0599999999999996</v>
      </c>
      <c r="N28" s="23">
        <f>(B28*C28)/(1000*1000)*N$7</f>
        <v>147</v>
      </c>
      <c r="O28" s="23">
        <f>O$7*V23</f>
        <v>44</v>
      </c>
      <c r="P28" s="23">
        <f>P$7*W23</f>
        <v>2.6399999999999997</v>
      </c>
      <c r="Q28" s="23">
        <f>Q$7</f>
        <v>20</v>
      </c>
      <c r="R28" s="23">
        <f>R$7</f>
        <v>15</v>
      </c>
      <c r="S28" s="23">
        <v>6</v>
      </c>
      <c r="T28" s="23">
        <f>T$7*X23</f>
        <v>1.304</v>
      </c>
      <c r="U28" s="23">
        <f>U$7*X23</f>
        <v>0.9</v>
      </c>
      <c r="V28" s="23">
        <f>Y23*V$27</f>
        <v>0.3</v>
      </c>
      <c r="W28" s="19">
        <f>SUM(E28:V28)</f>
        <v>354.74031999999994</v>
      </c>
      <c r="X28" s="19">
        <f>W28*3.7*1.08</f>
        <v>1417.5423187199999</v>
      </c>
      <c r="Y28" s="19">
        <f>X28*1.035*1.08*1.04*1.1</f>
        <v>1812.7009516218072</v>
      </c>
      <c r="Z28" s="19">
        <f>Y28*1.08*1.025</f>
        <v>2006.6599534453405</v>
      </c>
      <c r="AA28" s="19">
        <f>Z28*1.1*1.045</f>
        <v>2306.6556164854192</v>
      </c>
      <c r="AB28" s="19">
        <f>Y28*1.55*1.045*1.06</f>
        <v>3112.2897083727876</v>
      </c>
    </row>
    <row r="29" spans="1:31" ht="15" x14ac:dyDescent="0.15">
      <c r="A29" s="23" t="s">
        <v>167</v>
      </c>
      <c r="B29" s="18">
        <f t="shared" si="2"/>
        <v>1958</v>
      </c>
      <c r="C29" s="18">
        <f t="shared" si="2"/>
        <v>492</v>
      </c>
      <c r="D29" s="23">
        <f t="shared" si="2"/>
        <v>95</v>
      </c>
      <c r="E29" s="19">
        <f>E$7*G24</f>
        <v>67.04567999999999</v>
      </c>
      <c r="F29" s="19">
        <f>(I24/1000)*F$7*2</f>
        <v>10.890879999999999</v>
      </c>
      <c r="G29" s="19">
        <f>N24*2*G$7</f>
        <v>23.4</v>
      </c>
      <c r="H29" s="19">
        <f>H$7*Q24</f>
        <v>0.67759999999999998</v>
      </c>
      <c r="I29" s="19">
        <f>O24*I$7*2</f>
        <v>4</v>
      </c>
      <c r="J29" s="23">
        <f>J$7*U24</f>
        <v>6</v>
      </c>
      <c r="K29" s="19">
        <f>K$7*R24</f>
        <v>19.5</v>
      </c>
      <c r="L29" s="19">
        <f>L$7*S24</f>
        <v>6.1879999999999997</v>
      </c>
      <c r="M29" s="19">
        <f>M$7*U24</f>
        <v>3.0599999999999996</v>
      </c>
      <c r="N29" s="23">
        <f>(B29*C29)/(1000*1000)*N$7</f>
        <v>96.33359999999999</v>
      </c>
      <c r="O29" s="23">
        <f>O$7*V24</f>
        <v>78</v>
      </c>
      <c r="P29" s="23">
        <f>P$7*W24</f>
        <v>4.68</v>
      </c>
      <c r="Q29" s="23">
        <f>Q$7</f>
        <v>20</v>
      </c>
      <c r="R29" s="23">
        <f>R$7</f>
        <v>15</v>
      </c>
      <c r="S29" s="23">
        <v>6</v>
      </c>
      <c r="T29" s="23">
        <f>T$7*X24</f>
        <v>1.304</v>
      </c>
      <c r="U29" s="23">
        <f>U$7*X24</f>
        <v>0.9</v>
      </c>
      <c r="V29" s="23">
        <f>Y24*V$27</f>
        <v>0.24</v>
      </c>
      <c r="W29" s="19">
        <f>SUM(E29:V29)</f>
        <v>363.21975999999995</v>
      </c>
      <c r="X29" s="19">
        <f>W29*3.7*1.08</f>
        <v>1451.4261609600001</v>
      </c>
      <c r="Y29" s="19">
        <f>X29*1.035*1.08*1.04*1.1</f>
        <v>1856.0303621529251</v>
      </c>
      <c r="Z29" s="19">
        <f>Y29*1.08*1.025</f>
        <v>2054.6256109032879</v>
      </c>
      <c r="AA29" s="19">
        <f>Z29*1.1*1.045</f>
        <v>2361.7921397333293</v>
      </c>
      <c r="AB29" s="19">
        <f>Y29*1.55*1.045*1.06</f>
        <v>3186.6834898430325</v>
      </c>
    </row>
    <row r="30" spans="1:31" x14ac:dyDescent="0.15">
      <c r="B30" s="18"/>
      <c r="C30" s="18"/>
      <c r="E30" s="19"/>
      <c r="F30" s="19"/>
      <c r="G30" s="19"/>
      <c r="H30" s="19"/>
      <c r="I30" s="19"/>
      <c r="K30" s="19"/>
      <c r="L30" s="19"/>
      <c r="M30" s="19"/>
      <c r="W30" s="19"/>
      <c r="X30" s="19"/>
    </row>
    <row r="31" spans="1:31" ht="30" x14ac:dyDescent="0.15">
      <c r="A31" s="22" t="s">
        <v>168</v>
      </c>
      <c r="B31" s="23" t="s">
        <v>169</v>
      </c>
      <c r="C31" s="23" t="s">
        <v>170</v>
      </c>
      <c r="D31" s="23" t="s">
        <v>162</v>
      </c>
      <c r="E31" s="23" t="s">
        <v>171</v>
      </c>
      <c r="F31" s="23" t="s">
        <v>172</v>
      </c>
      <c r="G31" s="23" t="s">
        <v>173</v>
      </c>
      <c r="H31" s="23" t="s">
        <v>174</v>
      </c>
      <c r="I31" s="23" t="s">
        <v>175</v>
      </c>
      <c r="J31" s="23" t="s">
        <v>176</v>
      </c>
      <c r="K31" s="23" t="s">
        <v>177</v>
      </c>
      <c r="L31" s="23" t="s">
        <v>178</v>
      </c>
      <c r="M31" s="23" t="s">
        <v>179</v>
      </c>
      <c r="N31" s="23" t="s">
        <v>180</v>
      </c>
      <c r="O31" s="23" t="s">
        <v>181</v>
      </c>
      <c r="P31" s="23" t="s">
        <v>182</v>
      </c>
      <c r="Q31" s="23" t="s">
        <v>183</v>
      </c>
      <c r="R31" s="23" t="s">
        <v>184</v>
      </c>
      <c r="S31" s="23" t="s">
        <v>185</v>
      </c>
      <c r="T31" s="23" t="s">
        <v>186</v>
      </c>
      <c r="U31" s="23" t="s">
        <v>187</v>
      </c>
      <c r="V31" s="23" t="s">
        <v>188</v>
      </c>
      <c r="W31" s="23" t="s">
        <v>189</v>
      </c>
      <c r="X31" s="23" t="s">
        <v>190</v>
      </c>
      <c r="AC31" s="16"/>
      <c r="AD31" s="16" t="s">
        <v>191</v>
      </c>
    </row>
    <row r="32" spans="1:31" ht="15" x14ac:dyDescent="0.15">
      <c r="A32" s="23" t="s">
        <v>166</v>
      </c>
      <c r="B32" s="23">
        <f>'OUTLINE RANGE BESPOKE SIZE CALC'!D10</f>
        <v>2100</v>
      </c>
      <c r="C32" s="23">
        <f>'OUTLINE RANGE BESPOKE SIZE CALC'!E10</f>
        <v>700</v>
      </c>
      <c r="D32" s="23">
        <v>50</v>
      </c>
      <c r="E32" s="23">
        <f>ROUNDDOWN(I32/93,0)</f>
        <v>22</v>
      </c>
      <c r="F32" s="23">
        <f>C32-115-120</f>
        <v>465</v>
      </c>
      <c r="G32" s="23">
        <f>M32*F32/1000</f>
        <v>9.7650000000000006</v>
      </c>
      <c r="H32" s="23">
        <f>B32-54</f>
        <v>2046</v>
      </c>
      <c r="I32" s="23">
        <f>B32-3</f>
        <v>2097</v>
      </c>
      <c r="J32" s="23">
        <f>E32*93-1</f>
        <v>2045</v>
      </c>
      <c r="K32" s="23">
        <f>(I32-J32)/2</f>
        <v>26</v>
      </c>
      <c r="L32" s="23">
        <v>28</v>
      </c>
      <c r="M32" s="23">
        <f>IF(K32&lt;L32,(E32-1),IF(K32&gt;=L32,E32))</f>
        <v>21</v>
      </c>
      <c r="N32" s="23">
        <f>IF(AC26&lt;AD32,(AD32),IF(AC26&gt;=AD32,(AC26)))</f>
        <v>5</v>
      </c>
      <c r="O32" s="23">
        <f>F32+107+120</f>
        <v>692</v>
      </c>
      <c r="P32" s="23">
        <f>N32*O32/1000</f>
        <v>3.46</v>
      </c>
      <c r="Q32" s="23">
        <f>$FN46*2</f>
        <v>0</v>
      </c>
      <c r="R32" s="23">
        <f>$FO46*2</f>
        <v>0</v>
      </c>
      <c r="S32" s="23">
        <f>$FO46*2</f>
        <v>0</v>
      </c>
      <c r="T32" s="23">
        <v>4</v>
      </c>
      <c r="U32" s="23">
        <f>$FN46*2</f>
        <v>0</v>
      </c>
      <c r="V32" s="23">
        <f>$FN46*2</f>
        <v>0</v>
      </c>
      <c r="W32" s="23">
        <v>2</v>
      </c>
      <c r="X32" s="23">
        <f>S32</f>
        <v>0</v>
      </c>
      <c r="AD32" s="16">
        <v>2</v>
      </c>
    </row>
    <row r="33" spans="1:31" ht="15" x14ac:dyDescent="0.15">
      <c r="A33" s="23" t="s">
        <v>167</v>
      </c>
      <c r="B33" s="23">
        <f>'OUTLINE RANGE BESPOKE SIZE CALC'!D11</f>
        <v>1958</v>
      </c>
      <c r="C33" s="23">
        <f>'OUTLINE RANGE BESPOKE SIZE CALC'!E11</f>
        <v>492</v>
      </c>
      <c r="D33" s="23">
        <v>95</v>
      </c>
      <c r="E33" s="23">
        <f>ROUNDDOWN(I33/49,0)</f>
        <v>39</v>
      </c>
      <c r="F33" s="23">
        <f>C33-115-120</f>
        <v>257</v>
      </c>
      <c r="G33" s="23">
        <f>M33*F33/1000</f>
        <v>9.766</v>
      </c>
      <c r="H33" s="23">
        <f>B33-54</f>
        <v>1904</v>
      </c>
      <c r="I33" s="23">
        <f>B33-3</f>
        <v>1955</v>
      </c>
      <c r="J33" s="23">
        <f>E33*49-1</f>
        <v>1910</v>
      </c>
      <c r="K33" s="23">
        <f>(I33-J33)/2</f>
        <v>22.5</v>
      </c>
      <c r="L33" s="23">
        <v>28</v>
      </c>
      <c r="M33" s="23">
        <f>IF(K33&lt;L33,(E33-1),IF(K33&gt;=L33,E33))</f>
        <v>38</v>
      </c>
      <c r="N33" s="23">
        <f>IF(AC27&lt;AD33,(AD33),IF(AC27&gt;=AD33,(AC27)))</f>
        <v>4</v>
      </c>
      <c r="O33" s="23">
        <f>F33+107+120</f>
        <v>484</v>
      </c>
      <c r="P33" s="23">
        <f>N33*O33/1000</f>
        <v>1.9359999999999999</v>
      </c>
      <c r="Q33" s="23">
        <f>$FN47*2</f>
        <v>0</v>
      </c>
      <c r="R33" s="23">
        <f>$FO47*2</f>
        <v>0</v>
      </c>
      <c r="S33" s="23">
        <f>$FO47*2</f>
        <v>0</v>
      </c>
      <c r="T33" s="23">
        <v>4</v>
      </c>
      <c r="U33" s="23">
        <f>$FN47*2</f>
        <v>0</v>
      </c>
      <c r="V33" s="23">
        <f>$FN47*2</f>
        <v>0</v>
      </c>
      <c r="W33" s="23">
        <v>2</v>
      </c>
      <c r="X33" s="23">
        <f>S33</f>
        <v>0</v>
      </c>
      <c r="AD33" s="16">
        <v>2</v>
      </c>
      <c r="AE33" s="23"/>
    </row>
    <row r="34" spans="1:31" x14ac:dyDescent="0.15">
      <c r="B34" s="18"/>
      <c r="C34" s="18"/>
      <c r="E34" s="19"/>
      <c r="F34" s="19"/>
      <c r="G34" s="19"/>
      <c r="H34" s="19"/>
      <c r="I34" s="19"/>
      <c r="K34" s="19"/>
      <c r="L34" s="19"/>
      <c r="M34" s="19"/>
      <c r="W34" s="19"/>
      <c r="X34" s="19"/>
    </row>
    <row r="35" spans="1:31" ht="30" x14ac:dyDescent="0.15">
      <c r="A35" s="22" t="s">
        <v>213</v>
      </c>
      <c r="B35" s="19" t="str">
        <f t="shared" ref="B35:D37" si="3">B22</f>
        <v>length (x)</v>
      </c>
      <c r="C35" s="19" t="str">
        <f t="shared" si="3"/>
        <v>height (y)</v>
      </c>
      <c r="D35" s="19" t="str">
        <f t="shared" si="3"/>
        <v>depth (z)</v>
      </c>
      <c r="E35" s="23" t="s">
        <v>214</v>
      </c>
      <c r="F35" s="23" t="s">
        <v>215</v>
      </c>
      <c r="G35" s="23" t="s">
        <v>216</v>
      </c>
      <c r="H35" s="23" t="s">
        <v>217</v>
      </c>
    </row>
    <row r="36" spans="1:31" x14ac:dyDescent="0.15">
      <c r="B36" s="21">
        <f t="shared" si="3"/>
        <v>2100</v>
      </c>
      <c r="C36" s="21">
        <f t="shared" si="3"/>
        <v>700</v>
      </c>
      <c r="D36" s="20">
        <f t="shared" si="3"/>
        <v>50</v>
      </c>
      <c r="E36" s="23">
        <v>0.56699999999999995</v>
      </c>
      <c r="F36" s="19">
        <f>E36*G32</f>
        <v>5.5367549999999994</v>
      </c>
      <c r="G36" s="20">
        <v>375</v>
      </c>
      <c r="H36" s="20">
        <f>G36*F36</f>
        <v>2076.2831249999999</v>
      </c>
    </row>
    <row r="37" spans="1:31" x14ac:dyDescent="0.15">
      <c r="B37" s="21">
        <f t="shared" si="3"/>
        <v>1958</v>
      </c>
      <c r="C37" s="21">
        <f t="shared" si="3"/>
        <v>492</v>
      </c>
      <c r="D37" s="20">
        <f t="shared" si="3"/>
        <v>95</v>
      </c>
      <c r="E37" s="23">
        <v>0.56699999999999995</v>
      </c>
      <c r="F37" s="19">
        <f>E37*G33</f>
        <v>5.5373219999999996</v>
      </c>
      <c r="G37" s="20">
        <v>375</v>
      </c>
      <c r="H37" s="20">
        <f>G37*F37</f>
        <v>2076.49575</v>
      </c>
    </row>
    <row r="38" spans="1:31" x14ac:dyDescent="0.15">
      <c r="B38" s="19"/>
      <c r="G38" s="19"/>
      <c r="I38" s="20"/>
      <c r="K38" s="23">
        <v>1700</v>
      </c>
      <c r="L38" s="20">
        <f>K38*3.4121813</f>
        <v>5800.7082099999998</v>
      </c>
    </row>
    <row r="39" spans="1:31" ht="15" x14ac:dyDescent="0.15">
      <c r="A39" s="22" t="s">
        <v>218</v>
      </c>
      <c r="H39" s="20"/>
      <c r="I39" s="20"/>
    </row>
    <row r="40" spans="1:31" ht="15" x14ac:dyDescent="0.15">
      <c r="E40" s="23" t="s">
        <v>219</v>
      </c>
      <c r="H40" s="20"/>
      <c r="I40" s="20"/>
    </row>
    <row r="41" spans="1:31" ht="30" x14ac:dyDescent="0.15">
      <c r="B41" s="23" t="str">
        <f>B22</f>
        <v>length (x)</v>
      </c>
      <c r="C41" s="23" t="str">
        <f>C22</f>
        <v>height (y)</v>
      </c>
      <c r="D41" s="23" t="str">
        <f>D22</f>
        <v>depth (z)</v>
      </c>
      <c r="E41" s="23" t="s">
        <v>220</v>
      </c>
      <c r="F41" s="23" t="s">
        <v>221</v>
      </c>
      <c r="G41" s="23" t="s">
        <v>222</v>
      </c>
    </row>
    <row r="42" spans="1:31" ht="15" x14ac:dyDescent="0.15">
      <c r="A42" s="23" t="s">
        <v>166</v>
      </c>
      <c r="B42" s="23">
        <f>'OUTLINE RANGE BESPOKE SIZE CALC'!D8</f>
        <v>2000</v>
      </c>
      <c r="C42" s="23">
        <f>'OUTLINE RANGE BESPOKE SIZE CALC'!E8</f>
        <v>600</v>
      </c>
      <c r="D42" s="23">
        <f>D23</f>
        <v>50</v>
      </c>
      <c r="E42" s="23">
        <f t="shared" ref="E42:G43" si="4">B42</f>
        <v>2000</v>
      </c>
      <c r="F42" s="23">
        <f t="shared" si="4"/>
        <v>600</v>
      </c>
      <c r="G42" s="23">
        <f t="shared" si="4"/>
        <v>50</v>
      </c>
    </row>
    <row r="43" spans="1:31" ht="15" x14ac:dyDescent="0.15">
      <c r="A43" s="23" t="s">
        <v>167</v>
      </c>
      <c r="B43" s="23">
        <f>'OUTLINE RANGE BESPOKE SIZE CALC'!D9</f>
        <v>2000</v>
      </c>
      <c r="C43" s="23">
        <f>'OUTLINE RANGE BESPOKE SIZE CALC'!E9</f>
        <v>600</v>
      </c>
      <c r="D43" s="23">
        <f>D24</f>
        <v>95</v>
      </c>
      <c r="E43" s="23">
        <f t="shared" si="4"/>
        <v>2000</v>
      </c>
      <c r="F43" s="23">
        <f t="shared" si="4"/>
        <v>600</v>
      </c>
      <c r="G43" s="23">
        <f t="shared" si="4"/>
        <v>95</v>
      </c>
    </row>
    <row r="44" spans="1:31" x14ac:dyDescent="0.15">
      <c r="Y44" s="19"/>
      <c r="Z44" s="19"/>
      <c r="AA44" s="19"/>
      <c r="AB44" s="19"/>
    </row>
    <row r="48" spans="1:31" x14ac:dyDescent="0.15">
      <c r="Y48" s="19"/>
      <c r="Z48" s="19"/>
      <c r="AA48" s="19"/>
      <c r="AB48" s="19"/>
    </row>
  </sheetData>
  <conditionalFormatting sqref="M33 M4 N24">
    <cfRule type="cellIs" dxfId="5" priority="1" stopIfTrue="1" operator="lessThan">
      <formula>$FF$18</formula>
    </cfRule>
  </conditionalFormatting>
  <conditionalFormatting sqref="M32 M2:M3 N23">
    <cfRule type="cellIs" dxfId="4" priority="2" stopIfTrue="1" operator="lessThan">
      <formula>$FF$16</formula>
    </cfRule>
  </conditionalFormatting>
  <dataValidations count="1">
    <dataValidation allowBlank="1" showInputMessage="1" showErrorMessage="1" promptTitle="Don't touch these boxes!" prompt="You only need to enter length and height in the dark shaded boxes" sqref="Y48:AB48 Y44:AB44 Y28:AB29" xr:uid="{DF495BE2-0476-4BB6-BC33-AA08EAEC28E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A46"/>
  <sheetViews>
    <sheetView zoomScale="130" zoomScaleNormal="130" workbookViewId="0">
      <pane ySplit="5" topLeftCell="A6" activePane="bottomLeft" state="frozen"/>
      <selection pane="bottomLeft" activeCell="N5" sqref="N5"/>
    </sheetView>
  </sheetViews>
  <sheetFormatPr baseColWidth="10" defaultColWidth="8.796875" defaultRowHeight="14" x14ac:dyDescent="0.15"/>
  <cols>
    <col min="1" max="2" width="16" style="27" customWidth="1"/>
    <col min="3" max="3" width="16" style="52" customWidth="1"/>
    <col min="4" max="6" width="16" style="53" customWidth="1"/>
    <col min="7" max="8" width="16" style="52" customWidth="1"/>
    <col min="9" max="12" width="16" style="27" customWidth="1"/>
    <col min="13" max="16384" width="8.796875" style="27"/>
  </cols>
  <sheetData>
    <row r="1" spans="1:26" ht="53.25" customHeight="1" thickBot="1" x14ac:dyDescent="0.2">
      <c r="A1" s="358"/>
      <c r="B1" s="358"/>
      <c r="C1" s="358"/>
      <c r="D1" s="358"/>
      <c r="E1" s="358"/>
      <c r="F1" s="358"/>
      <c r="G1" s="358"/>
      <c r="H1" s="26"/>
      <c r="J1" s="535"/>
      <c r="K1" s="535"/>
      <c r="L1" s="535"/>
    </row>
    <row r="2" spans="1:26" ht="25.25" customHeight="1" x14ac:dyDescent="0.15">
      <c r="A2" s="422" t="s">
        <v>244</v>
      </c>
      <c r="B2" s="423"/>
      <c r="C2" s="423"/>
      <c r="D2" s="423"/>
      <c r="E2" s="423"/>
      <c r="F2" s="423"/>
      <c r="G2" s="423"/>
      <c r="H2" s="423"/>
      <c r="I2" s="423"/>
      <c r="J2" s="423"/>
      <c r="K2" s="423"/>
      <c r="L2" s="424"/>
    </row>
    <row r="3" spans="1:26" ht="25.25" customHeight="1" x14ac:dyDescent="0.15">
      <c r="A3" s="425" t="s">
        <v>297</v>
      </c>
      <c r="B3" s="426"/>
      <c r="C3" s="426"/>
      <c r="D3" s="426"/>
      <c r="E3" s="426"/>
      <c r="F3" s="426"/>
      <c r="G3" s="426"/>
      <c r="H3" s="426"/>
      <c r="I3" s="426"/>
      <c r="J3" s="426"/>
      <c r="K3" s="426"/>
      <c r="L3" s="427"/>
    </row>
    <row r="4" spans="1:26" ht="40" customHeight="1" x14ac:dyDescent="0.15">
      <c r="A4" s="359" t="s">
        <v>235</v>
      </c>
      <c r="B4" s="329" t="s">
        <v>236</v>
      </c>
      <c r="C4" s="361" t="s">
        <v>242</v>
      </c>
      <c r="D4" s="361" t="s">
        <v>243</v>
      </c>
      <c r="E4" s="329" t="s">
        <v>262</v>
      </c>
      <c r="F4" s="330" t="s">
        <v>260</v>
      </c>
      <c r="G4" s="421" t="s">
        <v>282</v>
      </c>
      <c r="H4" s="421" t="s">
        <v>269</v>
      </c>
      <c r="I4" s="329" t="s">
        <v>285</v>
      </c>
      <c r="J4" s="329" t="s">
        <v>287</v>
      </c>
      <c r="K4" s="329" t="s">
        <v>283</v>
      </c>
      <c r="L4" s="354" t="s">
        <v>295</v>
      </c>
    </row>
    <row r="5" spans="1:26" ht="40" customHeight="1" x14ac:dyDescent="0.15">
      <c r="A5" s="359"/>
      <c r="B5" s="329"/>
      <c r="C5" s="361"/>
      <c r="D5" s="361"/>
      <c r="E5" s="329"/>
      <c r="F5" s="329"/>
      <c r="G5" s="421"/>
      <c r="H5" s="353"/>
      <c r="I5" s="329"/>
      <c r="J5" s="329"/>
      <c r="K5" s="353"/>
      <c r="L5" s="354"/>
    </row>
    <row r="6" spans="1:26" ht="14" customHeight="1" x14ac:dyDescent="0.15">
      <c r="A6" s="337" t="s">
        <v>237</v>
      </c>
      <c r="B6" s="338"/>
      <c r="C6" s="338"/>
      <c r="D6" s="338"/>
      <c r="E6" s="338"/>
      <c r="F6" s="338"/>
      <c r="G6" s="338"/>
      <c r="H6" s="338"/>
      <c r="I6" s="338"/>
      <c r="J6" s="338"/>
      <c r="K6" s="338"/>
      <c r="L6" s="339"/>
    </row>
    <row r="7" spans="1:26" ht="14" customHeight="1" x14ac:dyDescent="0.15">
      <c r="A7" s="29" t="s">
        <v>20</v>
      </c>
      <c r="B7" s="30" t="s">
        <v>21</v>
      </c>
      <c r="C7" s="54">
        <v>361.82</v>
      </c>
      <c r="D7" s="54">
        <f t="shared" ref="D7:D12" si="0">C7*3.412</f>
        <v>1234.5298399999999</v>
      </c>
      <c r="E7" s="31">
        <v>1032.954</v>
      </c>
      <c r="F7" s="31">
        <v>149.50649999999999</v>
      </c>
      <c r="G7" s="80">
        <v>1200.2339999999999</v>
      </c>
      <c r="H7" s="80">
        <v>1344.5129999999999</v>
      </c>
      <c r="I7" s="80">
        <v>1368.5594999999998</v>
      </c>
      <c r="J7" s="80">
        <v>1664.1223500000001</v>
      </c>
      <c r="K7" s="80">
        <v>2103.9641999999999</v>
      </c>
      <c r="L7" s="81">
        <v>2990.9636701439044</v>
      </c>
      <c r="M7" s="34"/>
      <c r="N7" s="34"/>
      <c r="O7" s="34"/>
      <c r="P7" s="34"/>
      <c r="Q7" s="34"/>
      <c r="R7" s="34"/>
      <c r="S7" s="34"/>
      <c r="T7" s="34"/>
      <c r="U7" s="34"/>
      <c r="V7" s="34"/>
      <c r="W7" s="34"/>
      <c r="X7" s="34"/>
      <c r="Y7" s="34"/>
      <c r="Z7" s="34"/>
    </row>
    <row r="8" spans="1:26" ht="14" customHeight="1" x14ac:dyDescent="0.15">
      <c r="A8" s="35" t="s">
        <v>22</v>
      </c>
      <c r="B8" s="36" t="s">
        <v>23</v>
      </c>
      <c r="C8" s="54">
        <v>783.68000000000006</v>
      </c>
      <c r="D8" s="54">
        <f t="shared" si="0"/>
        <v>2673.9161600000002</v>
      </c>
      <c r="E8" s="37">
        <v>1313.1479999999999</v>
      </c>
      <c r="F8" s="37">
        <v>180.8715</v>
      </c>
      <c r="G8" s="82">
        <v>1550.4764999999998</v>
      </c>
      <c r="H8" s="82">
        <v>1695.8009999999999</v>
      </c>
      <c r="I8" s="82">
        <v>1795.1234999999999</v>
      </c>
      <c r="J8" s="82">
        <v>2133.3427499999998</v>
      </c>
      <c r="K8" s="82">
        <v>2788.9757999999997</v>
      </c>
      <c r="L8" s="83">
        <v>4002.4216311649934</v>
      </c>
      <c r="M8" s="34"/>
      <c r="N8" s="34"/>
      <c r="O8" s="34"/>
      <c r="P8" s="34"/>
      <c r="Q8" s="34"/>
      <c r="R8" s="34"/>
      <c r="S8" s="34"/>
      <c r="T8" s="34"/>
      <c r="U8" s="34"/>
      <c r="V8" s="34"/>
      <c r="W8" s="34"/>
      <c r="X8" s="34"/>
      <c r="Y8" s="34"/>
      <c r="Z8" s="34"/>
    </row>
    <row r="9" spans="1:26" ht="14" customHeight="1" x14ac:dyDescent="0.15">
      <c r="A9" s="29" t="s">
        <v>24</v>
      </c>
      <c r="B9" s="30" t="s">
        <v>25</v>
      </c>
      <c r="C9" s="54">
        <v>1516.01</v>
      </c>
      <c r="D9" s="54">
        <f t="shared" si="0"/>
        <v>5172.6261199999999</v>
      </c>
      <c r="E9" s="31">
        <v>1630.9799999999998</v>
      </c>
      <c r="F9" s="31">
        <v>210.14549999999997</v>
      </c>
      <c r="G9" s="80">
        <v>1947.7665</v>
      </c>
      <c r="H9" s="80">
        <v>2093.0909999999999</v>
      </c>
      <c r="I9" s="80">
        <v>2279.19</v>
      </c>
      <c r="J9" s="80">
        <v>2665.8159000000001</v>
      </c>
      <c r="K9" s="80">
        <v>3564.3185999999992</v>
      </c>
      <c r="L9" s="81">
        <v>5148.4512522360974</v>
      </c>
      <c r="M9" s="34"/>
      <c r="N9" s="34"/>
      <c r="O9" s="34"/>
      <c r="P9" s="34"/>
      <c r="Q9" s="34"/>
      <c r="R9" s="34"/>
      <c r="S9" s="34"/>
      <c r="T9" s="34"/>
      <c r="U9" s="34"/>
      <c r="V9" s="34"/>
      <c r="W9" s="34"/>
      <c r="X9" s="34"/>
      <c r="Y9" s="34"/>
      <c r="Z9" s="34"/>
    </row>
    <row r="10" spans="1:26" ht="14" customHeight="1" x14ac:dyDescent="0.15">
      <c r="A10" s="35" t="s">
        <v>26</v>
      </c>
      <c r="B10" s="36" t="s">
        <v>27</v>
      </c>
      <c r="C10" s="54">
        <v>795.53000000000009</v>
      </c>
      <c r="D10" s="54">
        <f t="shared" si="0"/>
        <v>2714.3483600000004</v>
      </c>
      <c r="E10" s="37">
        <v>1261.9185</v>
      </c>
      <c r="F10" s="37">
        <v>149.50649999999999</v>
      </c>
      <c r="G10" s="82">
        <v>1485.6554999999998</v>
      </c>
      <c r="H10" s="82">
        <v>1629.9344999999998</v>
      </c>
      <c r="I10" s="82">
        <v>1716.711</v>
      </c>
      <c r="J10" s="82">
        <v>2047.0889999999999</v>
      </c>
      <c r="K10" s="82">
        <v>2661.0065999999997</v>
      </c>
      <c r="L10" s="83">
        <v>3815.7577156117441</v>
      </c>
      <c r="M10" s="34"/>
      <c r="N10" s="34"/>
      <c r="O10" s="34"/>
      <c r="P10" s="34"/>
      <c r="Q10" s="34"/>
      <c r="R10" s="34"/>
      <c r="S10" s="34"/>
      <c r="T10" s="34"/>
      <c r="U10" s="34"/>
      <c r="V10" s="34"/>
      <c r="W10" s="34"/>
      <c r="X10" s="34"/>
      <c r="Y10" s="34"/>
      <c r="Z10" s="34"/>
    </row>
    <row r="11" spans="1:26" ht="14" customHeight="1" x14ac:dyDescent="0.15">
      <c r="A11" s="29" t="s">
        <v>28</v>
      </c>
      <c r="B11" s="30" t="s">
        <v>29</v>
      </c>
      <c r="C11" s="54">
        <v>1679.54</v>
      </c>
      <c r="D11" s="54">
        <f t="shared" si="0"/>
        <v>5730.5904799999998</v>
      </c>
      <c r="E11" s="31">
        <v>1552.5674999999999</v>
      </c>
      <c r="F11" s="31">
        <v>180.8715</v>
      </c>
      <c r="G11" s="80">
        <v>1849.4894999999999</v>
      </c>
      <c r="H11" s="80">
        <v>1993.7684999999997</v>
      </c>
      <c r="I11" s="80">
        <v>2158.9575</v>
      </c>
      <c r="J11" s="80">
        <v>2533.5601500000002</v>
      </c>
      <c r="K11" s="80">
        <v>3369.8555999999994</v>
      </c>
      <c r="L11" s="81">
        <v>4861.9438469683218</v>
      </c>
      <c r="M11" s="34"/>
      <c r="N11" s="34"/>
      <c r="O11" s="34"/>
      <c r="P11" s="34"/>
      <c r="Q11" s="34"/>
      <c r="R11" s="34"/>
      <c r="S11" s="34"/>
      <c r="T11" s="34"/>
      <c r="U11" s="34"/>
      <c r="V11" s="34"/>
      <c r="W11" s="34"/>
      <c r="X11" s="34"/>
      <c r="Y11" s="34"/>
      <c r="Z11" s="34"/>
    </row>
    <row r="12" spans="1:26" ht="14" customHeight="1" thickBot="1" x14ac:dyDescent="0.2">
      <c r="A12" s="40" t="s">
        <v>30</v>
      </c>
      <c r="B12" s="41" t="s">
        <v>31</v>
      </c>
      <c r="C12" s="55">
        <v>2881.13</v>
      </c>
      <c r="D12" s="55">
        <f t="shared" si="0"/>
        <v>9830.4155599999995</v>
      </c>
      <c r="E12" s="42">
        <v>1981.2224999999999</v>
      </c>
      <c r="F12" s="42">
        <v>210.14549999999997</v>
      </c>
      <c r="G12" s="201">
        <v>2384.7854999999995</v>
      </c>
      <c r="H12" s="201">
        <v>2530.11</v>
      </c>
      <c r="I12" s="201">
        <v>2812.3949999999995</v>
      </c>
      <c r="J12" s="201">
        <v>3252.3414000000002</v>
      </c>
      <c r="K12" s="201">
        <v>4419.9557999999997</v>
      </c>
      <c r="L12" s="202">
        <v>6413.8589588354416</v>
      </c>
      <c r="M12" s="34"/>
      <c r="N12" s="34"/>
      <c r="O12" s="34"/>
      <c r="P12" s="34"/>
      <c r="Q12" s="34"/>
      <c r="R12" s="34"/>
      <c r="S12" s="34"/>
      <c r="T12" s="34"/>
      <c r="U12" s="34"/>
      <c r="V12" s="34"/>
      <c r="W12" s="34"/>
      <c r="X12" s="34"/>
      <c r="Y12" s="34"/>
      <c r="Z12" s="34"/>
    </row>
    <row r="13" spans="1:26" ht="14" customHeight="1" thickBot="1" x14ac:dyDescent="0.2">
      <c r="A13" s="419"/>
      <c r="B13" s="392"/>
      <c r="C13" s="392"/>
      <c r="D13" s="392"/>
      <c r="E13" s="392"/>
      <c r="F13" s="392"/>
      <c r="G13" s="392"/>
      <c r="H13" s="392"/>
      <c r="I13" s="392"/>
      <c r="J13" s="392"/>
      <c r="K13" s="392"/>
      <c r="L13" s="420"/>
      <c r="M13" s="34"/>
      <c r="N13" s="34"/>
      <c r="O13" s="34"/>
      <c r="P13" s="34"/>
      <c r="Q13" s="34"/>
      <c r="R13" s="34"/>
      <c r="S13" s="34"/>
      <c r="T13" s="34"/>
      <c r="U13" s="34"/>
      <c r="V13" s="34"/>
    </row>
    <row r="14" spans="1:26" ht="14" customHeight="1" x14ac:dyDescent="0.15">
      <c r="A14" s="406" t="s">
        <v>238</v>
      </c>
      <c r="B14" s="407"/>
      <c r="C14" s="407"/>
      <c r="D14" s="407"/>
      <c r="E14" s="407"/>
      <c r="F14" s="407"/>
      <c r="G14" s="407"/>
      <c r="H14" s="407"/>
      <c r="I14" s="407"/>
      <c r="J14" s="407"/>
      <c r="K14" s="407"/>
      <c r="L14" s="408"/>
      <c r="M14" s="34"/>
      <c r="N14" s="34"/>
      <c r="O14" s="34"/>
      <c r="P14" s="34"/>
      <c r="Q14" s="34"/>
      <c r="R14" s="34"/>
      <c r="S14" s="34"/>
      <c r="T14" s="34"/>
      <c r="U14" s="34"/>
      <c r="V14" s="34"/>
    </row>
    <row r="15" spans="1:26" ht="14" customHeight="1" x14ac:dyDescent="0.15">
      <c r="A15" s="29" t="s">
        <v>35</v>
      </c>
      <c r="B15" s="30" t="s">
        <v>52</v>
      </c>
      <c r="C15" s="54">
        <v>606.72</v>
      </c>
      <c r="D15" s="54">
        <f t="shared" ref="D15:D20" si="1">C15*3.412</f>
        <v>2070.1286399999999</v>
      </c>
      <c r="E15" s="31">
        <v>1191.8700000000001</v>
      </c>
      <c r="F15" s="31">
        <v>128.52000000000001</v>
      </c>
      <c r="G15" s="31">
        <v>1398.8789999999999</v>
      </c>
      <c r="H15" s="31">
        <v>1544.2035000000001</v>
      </c>
      <c r="I15" s="31">
        <v>1611.1154999999999</v>
      </c>
      <c r="J15" s="31">
        <v>1930.9339500000001</v>
      </c>
      <c r="K15" s="31">
        <v>2494.1447999999996</v>
      </c>
      <c r="L15" s="84">
        <v>3566.1489913254245</v>
      </c>
      <c r="M15" s="34"/>
      <c r="N15" s="34"/>
      <c r="O15" s="34"/>
      <c r="P15" s="34"/>
      <c r="Q15" s="34"/>
      <c r="R15" s="34"/>
      <c r="S15" s="34"/>
      <c r="T15" s="34"/>
      <c r="U15" s="34"/>
      <c r="V15" s="34"/>
      <c r="W15" s="34"/>
      <c r="X15" s="34"/>
      <c r="Y15" s="34"/>
    </row>
    <row r="16" spans="1:26" ht="14" customHeight="1" x14ac:dyDescent="0.15">
      <c r="A16" s="35" t="s">
        <v>37</v>
      </c>
      <c r="B16" s="36" t="s">
        <v>54</v>
      </c>
      <c r="C16" s="54">
        <v>1003.3000000000001</v>
      </c>
      <c r="D16" s="54">
        <f t="shared" si="1"/>
        <v>3423.2596000000003</v>
      </c>
      <c r="E16" s="37">
        <v>1381.1054999999999</v>
      </c>
      <c r="F16" s="31">
        <v>128.52000000000001</v>
      </c>
      <c r="G16" s="37">
        <v>1635.162</v>
      </c>
      <c r="H16" s="37">
        <v>1780.4864999999998</v>
      </c>
      <c r="I16" s="37">
        <v>1899.6734999999996</v>
      </c>
      <c r="J16" s="37">
        <v>2248.3477499999999</v>
      </c>
      <c r="K16" s="37">
        <v>2955.8375999999998</v>
      </c>
      <c r="L16" s="85">
        <v>4252.030355451313</v>
      </c>
      <c r="M16" s="34"/>
      <c r="N16" s="34"/>
      <c r="O16" s="34"/>
      <c r="P16" s="34"/>
      <c r="Q16" s="34"/>
      <c r="R16" s="34"/>
      <c r="S16" s="34"/>
      <c r="T16" s="34"/>
      <c r="U16" s="34"/>
      <c r="V16" s="34"/>
      <c r="W16" s="34"/>
      <c r="X16" s="34"/>
      <c r="Y16" s="34"/>
    </row>
    <row r="17" spans="1:27" ht="14" customHeight="1" x14ac:dyDescent="0.15">
      <c r="A17" s="29" t="s">
        <v>8</v>
      </c>
      <c r="B17" s="30" t="s">
        <v>12</v>
      </c>
      <c r="C17" s="54">
        <v>1241.0900000000001</v>
      </c>
      <c r="D17" s="54">
        <f t="shared" si="1"/>
        <v>4234.59908</v>
      </c>
      <c r="E17" s="31">
        <v>1497.1559999999999</v>
      </c>
      <c r="F17" s="31">
        <v>128.52000000000001</v>
      </c>
      <c r="G17" s="31">
        <v>1780.4864999999998</v>
      </c>
      <c r="H17" s="31">
        <v>1924.7655</v>
      </c>
      <c r="I17" s="31">
        <v>2075.3174999999997</v>
      </c>
      <c r="J17" s="31">
        <v>2441.5561499999999</v>
      </c>
      <c r="K17" s="31">
        <v>3241.8863999999999</v>
      </c>
      <c r="L17" s="84">
        <v>4670.9389101231372</v>
      </c>
      <c r="M17" s="34"/>
      <c r="N17" s="34"/>
      <c r="O17" s="34"/>
      <c r="P17" s="34"/>
      <c r="Q17" s="34"/>
      <c r="R17" s="34"/>
      <c r="S17" s="34"/>
      <c r="T17" s="34"/>
      <c r="U17" s="34"/>
      <c r="V17" s="34"/>
      <c r="W17" s="34"/>
      <c r="X17" s="34"/>
      <c r="Y17" s="34"/>
    </row>
    <row r="18" spans="1:27" ht="14" customHeight="1" x14ac:dyDescent="0.15">
      <c r="A18" s="35" t="s">
        <v>43</v>
      </c>
      <c r="B18" s="36" t="s">
        <v>59</v>
      </c>
      <c r="C18" s="54">
        <v>1061.76</v>
      </c>
      <c r="D18" s="54">
        <f t="shared" si="1"/>
        <v>3622.7251200000001</v>
      </c>
      <c r="E18" s="37">
        <v>1325.6939999999997</v>
      </c>
      <c r="F18" s="31">
        <v>128.52000000000001</v>
      </c>
      <c r="G18" s="37">
        <v>1565.1134999999999</v>
      </c>
      <c r="H18" s="37">
        <v>1710.4379999999999</v>
      </c>
      <c r="I18" s="37">
        <v>1813.9424999999999</v>
      </c>
      <c r="J18" s="37">
        <v>2154.0436500000001</v>
      </c>
      <c r="K18" s="37">
        <v>2816.5769999999998</v>
      </c>
      <c r="L18" s="85">
        <v>4045.8318440843532</v>
      </c>
      <c r="M18" s="34"/>
      <c r="N18" s="34"/>
      <c r="O18" s="34"/>
      <c r="P18" s="34"/>
      <c r="Q18" s="34"/>
      <c r="R18" s="34"/>
      <c r="S18" s="34"/>
      <c r="T18" s="34"/>
      <c r="U18" s="34"/>
      <c r="V18" s="34"/>
      <c r="W18" s="34"/>
      <c r="X18" s="34"/>
      <c r="Y18" s="34"/>
    </row>
    <row r="19" spans="1:27" ht="14" customHeight="1" x14ac:dyDescent="0.15">
      <c r="A19" s="29" t="s">
        <v>45</v>
      </c>
      <c r="B19" s="30" t="s">
        <v>61</v>
      </c>
      <c r="C19" s="54">
        <v>1755.38</v>
      </c>
      <c r="D19" s="54">
        <f t="shared" si="1"/>
        <v>5989.3565600000002</v>
      </c>
      <c r="E19" s="31">
        <v>1559.886</v>
      </c>
      <c r="F19" s="31">
        <v>128.52000000000001</v>
      </c>
      <c r="G19" s="31">
        <v>1858.8989999999999</v>
      </c>
      <c r="H19" s="31">
        <v>2004.2234999999998</v>
      </c>
      <c r="I19" s="31">
        <v>2171.5034999999998</v>
      </c>
      <c r="J19" s="31">
        <v>2547.3607500000003</v>
      </c>
      <c r="K19" s="31">
        <v>3391.1837999999998</v>
      </c>
      <c r="L19" s="84">
        <v>4892.3309960118731</v>
      </c>
      <c r="M19" s="34"/>
      <c r="N19" s="34"/>
      <c r="O19" s="34"/>
      <c r="P19" s="34"/>
      <c r="Q19" s="34"/>
      <c r="R19" s="34"/>
      <c r="S19" s="34"/>
      <c r="T19" s="34"/>
      <c r="U19" s="34"/>
      <c r="V19" s="34"/>
      <c r="W19" s="34"/>
      <c r="X19" s="34"/>
      <c r="Y19" s="34"/>
    </row>
    <row r="20" spans="1:27" ht="14" customHeight="1" thickBot="1" x14ac:dyDescent="0.2">
      <c r="A20" s="40" t="s">
        <v>10</v>
      </c>
      <c r="B20" s="41" t="s">
        <v>14</v>
      </c>
      <c r="C20" s="55">
        <v>2171.71</v>
      </c>
      <c r="D20" s="55">
        <f t="shared" si="1"/>
        <v>7409.8745200000003</v>
      </c>
      <c r="E20" s="42">
        <v>1702.0739999999998</v>
      </c>
      <c r="F20" s="203">
        <v>128.52000000000001</v>
      </c>
      <c r="G20" s="42">
        <v>2034.5429999999999</v>
      </c>
      <c r="H20" s="42">
        <v>2179.8674999999998</v>
      </c>
      <c r="I20" s="42">
        <v>2384.7854999999995</v>
      </c>
      <c r="J20" s="42">
        <v>2781.9709500000004</v>
      </c>
      <c r="K20" s="42">
        <v>3734.9441999999995</v>
      </c>
      <c r="L20" s="204">
        <v>5400.2304871683864</v>
      </c>
      <c r="M20" s="34"/>
      <c r="N20" s="34"/>
      <c r="O20" s="34"/>
      <c r="P20" s="34"/>
      <c r="Q20" s="34"/>
      <c r="R20" s="34"/>
      <c r="S20" s="34"/>
      <c r="T20" s="34"/>
      <c r="U20" s="34"/>
      <c r="V20" s="34"/>
      <c r="W20" s="34"/>
      <c r="X20" s="34"/>
      <c r="Y20" s="34"/>
    </row>
    <row r="21" spans="1:27" ht="14" customHeight="1" thickBot="1" x14ac:dyDescent="0.2">
      <c r="A21" s="419"/>
      <c r="B21" s="392"/>
      <c r="C21" s="392"/>
      <c r="D21" s="392"/>
      <c r="E21" s="392"/>
      <c r="F21" s="392"/>
      <c r="G21" s="392"/>
      <c r="H21" s="392"/>
      <c r="I21" s="392"/>
      <c r="J21" s="392"/>
      <c r="K21" s="392"/>
      <c r="L21" s="420"/>
      <c r="M21" s="34"/>
      <c r="N21" s="34"/>
      <c r="O21" s="34"/>
      <c r="P21" s="34"/>
      <c r="Q21" s="34"/>
      <c r="R21" s="34"/>
      <c r="S21" s="34"/>
      <c r="T21" s="34"/>
      <c r="U21" s="34"/>
      <c r="V21" s="34"/>
    </row>
    <row r="22" spans="1:27" ht="14" customHeight="1" x14ac:dyDescent="0.15">
      <c r="A22" s="409" t="s">
        <v>239</v>
      </c>
      <c r="B22" s="410"/>
      <c r="C22" s="410"/>
      <c r="D22" s="410"/>
      <c r="E22" s="410"/>
      <c r="F22" s="410"/>
      <c r="G22" s="410"/>
      <c r="H22" s="410"/>
      <c r="I22" s="410"/>
      <c r="J22" s="410"/>
      <c r="K22" s="410"/>
      <c r="L22" s="411"/>
      <c r="M22" s="34"/>
      <c r="N22" s="34"/>
      <c r="O22" s="34"/>
      <c r="P22" s="34"/>
      <c r="Q22" s="34"/>
      <c r="R22" s="34"/>
      <c r="S22" s="34"/>
      <c r="T22" s="34"/>
      <c r="U22" s="34"/>
      <c r="V22" s="34"/>
    </row>
    <row r="23" spans="1:27" ht="14" customHeight="1" x14ac:dyDescent="0.15">
      <c r="A23" s="29" t="s">
        <v>51</v>
      </c>
      <c r="B23" s="30" t="s">
        <v>36</v>
      </c>
      <c r="C23" s="54">
        <v>386.31</v>
      </c>
      <c r="D23" s="54">
        <f>C23*3.412</f>
        <v>1318.0897199999999</v>
      </c>
      <c r="E23" s="205">
        <v>1182.4604999999999</v>
      </c>
      <c r="F23" s="31">
        <v>210.14549999999997</v>
      </c>
      <c r="G23" s="31">
        <v>1386.3329999999999</v>
      </c>
      <c r="H23" s="31">
        <v>1531.6574999999998</v>
      </c>
      <c r="I23" s="31">
        <v>1596.4784999999999</v>
      </c>
      <c r="J23" s="31">
        <v>1914.8332499999999</v>
      </c>
      <c r="K23" s="31">
        <v>2472.8165999999997</v>
      </c>
      <c r="L23" s="84">
        <v>3535.7618422818718</v>
      </c>
      <c r="M23" s="34"/>
      <c r="N23" s="34"/>
      <c r="O23" s="34"/>
      <c r="P23" s="34"/>
      <c r="Q23" s="34"/>
      <c r="R23" s="34"/>
      <c r="S23" s="34"/>
      <c r="T23" s="34"/>
      <c r="U23" s="34"/>
      <c r="V23" s="34"/>
      <c r="W23" s="34"/>
      <c r="X23" s="34"/>
      <c r="Y23" s="34"/>
      <c r="Z23" s="34"/>
      <c r="AA23" s="34"/>
    </row>
    <row r="24" spans="1:27" ht="14" customHeight="1" x14ac:dyDescent="0.15">
      <c r="A24" s="35" t="s">
        <v>53</v>
      </c>
      <c r="B24" s="36" t="s">
        <v>38</v>
      </c>
      <c r="C24" s="54">
        <v>579.86</v>
      </c>
      <c r="D24" s="54">
        <f t="shared" ref="D24:D36" si="2">C24*3.412</f>
        <v>1978.4823200000001</v>
      </c>
      <c r="E24" s="37">
        <v>1479.3824999999997</v>
      </c>
      <c r="F24" s="37">
        <v>284.37599999999998</v>
      </c>
      <c r="G24" s="37">
        <v>1757.4855</v>
      </c>
      <c r="H24" s="37">
        <v>1902.8099999999997</v>
      </c>
      <c r="I24" s="37">
        <v>2048.1345000000001</v>
      </c>
      <c r="J24" s="37">
        <v>2411.6548499999999</v>
      </c>
      <c r="K24" s="37">
        <v>3194.2115999999996</v>
      </c>
      <c r="L24" s="85">
        <v>4601.4825694521605</v>
      </c>
      <c r="M24" s="34"/>
      <c r="N24" s="34"/>
      <c r="O24" s="34"/>
      <c r="P24" s="34"/>
      <c r="Q24" s="34"/>
      <c r="R24" s="34"/>
      <c r="S24" s="34"/>
      <c r="T24" s="34"/>
      <c r="U24" s="34"/>
      <c r="V24" s="34"/>
      <c r="W24" s="34"/>
      <c r="X24" s="34"/>
      <c r="Y24" s="34"/>
      <c r="Z24" s="34"/>
      <c r="AA24" s="34"/>
    </row>
    <row r="25" spans="1:27" ht="14" customHeight="1" x14ac:dyDescent="0.15">
      <c r="A25" s="29" t="s">
        <v>55</v>
      </c>
      <c r="B25" s="30" t="s">
        <v>39</v>
      </c>
      <c r="C25" s="54">
        <v>773.41000000000008</v>
      </c>
      <c r="D25" s="54">
        <f t="shared" si="2"/>
        <v>2638.8749200000002</v>
      </c>
      <c r="E25" s="31">
        <v>1749.1214999999997</v>
      </c>
      <c r="F25" s="31">
        <v>360.69749999999993</v>
      </c>
      <c r="G25" s="31">
        <v>2095.1819999999998</v>
      </c>
      <c r="H25" s="31">
        <v>2240.5065</v>
      </c>
      <c r="I25" s="31">
        <v>2459.0159999999996</v>
      </c>
      <c r="J25" s="31">
        <v>2863.6245000000004</v>
      </c>
      <c r="K25" s="31">
        <v>3854.1311999999998</v>
      </c>
      <c r="L25" s="84">
        <v>5578.2123601377598</v>
      </c>
      <c r="M25" s="34"/>
      <c r="N25" s="34"/>
      <c r="O25" s="34"/>
      <c r="P25" s="34"/>
      <c r="Q25" s="34"/>
      <c r="R25" s="34"/>
      <c r="S25" s="34"/>
      <c r="T25" s="34"/>
      <c r="U25" s="34"/>
      <c r="V25" s="34"/>
      <c r="W25" s="34"/>
      <c r="X25" s="34"/>
      <c r="Y25" s="34"/>
      <c r="Z25" s="34"/>
      <c r="AA25" s="34"/>
    </row>
    <row r="26" spans="1:27" ht="14" customHeight="1" x14ac:dyDescent="0.15">
      <c r="A26" s="35" t="s">
        <v>15</v>
      </c>
      <c r="B26" s="36" t="s">
        <v>44</v>
      </c>
      <c r="C26" s="54">
        <v>734.7</v>
      </c>
      <c r="D26" s="54">
        <f t="shared" si="2"/>
        <v>2506.7964000000002</v>
      </c>
      <c r="E26" s="37">
        <v>1408.2884999999999</v>
      </c>
      <c r="F26" s="37">
        <v>210.14549999999997</v>
      </c>
      <c r="G26" s="37">
        <v>1667.5724999999998</v>
      </c>
      <c r="H26" s="37">
        <v>1812.8969999999999</v>
      </c>
      <c r="I26" s="37">
        <v>1939.4024999999997</v>
      </c>
      <c r="J26" s="37">
        <v>2292.0496499999999</v>
      </c>
      <c r="K26" s="37">
        <v>3022.3314</v>
      </c>
      <c r="L26" s="85">
        <v>4347.5328238739048</v>
      </c>
      <c r="M26" s="34"/>
      <c r="N26" s="34"/>
      <c r="O26" s="34"/>
      <c r="P26" s="34"/>
      <c r="Q26" s="34"/>
      <c r="R26" s="34"/>
      <c r="S26" s="34"/>
      <c r="T26" s="34"/>
      <c r="U26" s="34"/>
      <c r="V26" s="34"/>
      <c r="W26" s="34"/>
      <c r="X26" s="34"/>
      <c r="Y26" s="34"/>
      <c r="Z26" s="34"/>
      <c r="AA26" s="34"/>
    </row>
    <row r="27" spans="1:27" ht="14" customHeight="1" x14ac:dyDescent="0.15">
      <c r="A27" s="29" t="s">
        <v>60</v>
      </c>
      <c r="B27" s="30" t="s">
        <v>46</v>
      </c>
      <c r="C27" s="54">
        <v>1121.01</v>
      </c>
      <c r="D27" s="54">
        <f t="shared" si="2"/>
        <v>3824.8861199999997</v>
      </c>
      <c r="E27" s="31">
        <v>1804.5329999999999</v>
      </c>
      <c r="F27" s="31">
        <v>284.37599999999998</v>
      </c>
      <c r="G27" s="31">
        <v>2163.1394999999998</v>
      </c>
      <c r="H27" s="31">
        <v>2308.4639999999999</v>
      </c>
      <c r="I27" s="31">
        <v>2541.6104999999998</v>
      </c>
      <c r="J27" s="31">
        <v>2954.4784500000001</v>
      </c>
      <c r="K27" s="31">
        <v>3990.8825999999995</v>
      </c>
      <c r="L27" s="84">
        <v>5777.8993395668167</v>
      </c>
      <c r="M27" s="34"/>
      <c r="N27" s="34"/>
      <c r="O27" s="34"/>
      <c r="P27" s="34"/>
      <c r="Q27" s="34"/>
      <c r="R27" s="34"/>
      <c r="S27" s="34"/>
      <c r="T27" s="34"/>
      <c r="U27" s="34"/>
      <c r="V27" s="34"/>
      <c r="W27" s="34"/>
      <c r="X27" s="34"/>
      <c r="Y27" s="34"/>
      <c r="Z27" s="34"/>
      <c r="AA27" s="34"/>
    </row>
    <row r="28" spans="1:27" ht="14" customHeight="1" x14ac:dyDescent="0.15">
      <c r="A28" s="35" t="s">
        <v>62</v>
      </c>
      <c r="B28" s="36" t="s">
        <v>47</v>
      </c>
      <c r="C28" s="54">
        <v>1507.3200000000002</v>
      </c>
      <c r="D28" s="54">
        <f t="shared" si="2"/>
        <v>5142.9758400000001</v>
      </c>
      <c r="E28" s="37">
        <v>2224.8240000000001</v>
      </c>
      <c r="F28" s="37">
        <v>360.69749999999993</v>
      </c>
      <c r="G28" s="37">
        <v>2690.0715</v>
      </c>
      <c r="H28" s="37">
        <v>2835.3959999999997</v>
      </c>
      <c r="I28" s="37">
        <v>3182.502</v>
      </c>
      <c r="J28" s="37">
        <v>3659.4591</v>
      </c>
      <c r="K28" s="37">
        <v>5014.636199999999</v>
      </c>
      <c r="L28" s="85">
        <v>7292.9157704524814</v>
      </c>
      <c r="M28" s="34"/>
      <c r="N28" s="34"/>
      <c r="O28" s="34"/>
      <c r="P28" s="34"/>
      <c r="Q28" s="34"/>
      <c r="R28" s="34"/>
      <c r="S28" s="34"/>
      <c r="T28" s="34"/>
      <c r="U28" s="34"/>
      <c r="V28" s="34"/>
      <c r="W28" s="34"/>
      <c r="X28" s="34"/>
      <c r="Y28" s="34"/>
      <c r="Z28" s="34"/>
      <c r="AA28" s="34"/>
    </row>
    <row r="29" spans="1:27" ht="14" customHeight="1" x14ac:dyDescent="0.15">
      <c r="A29" s="29" t="s">
        <v>63</v>
      </c>
      <c r="B29" s="30" t="s">
        <v>3</v>
      </c>
      <c r="C29" s="54">
        <v>506.39000000000004</v>
      </c>
      <c r="D29" s="54">
        <f t="shared" si="2"/>
        <v>1727.80268</v>
      </c>
      <c r="E29" s="31">
        <v>1186.6424999999999</v>
      </c>
      <c r="F29" s="31">
        <v>180.8715</v>
      </c>
      <c r="G29" s="31">
        <v>1391.5604999999998</v>
      </c>
      <c r="H29" s="31">
        <v>1536.8849999999998</v>
      </c>
      <c r="I29" s="31">
        <v>1603.797</v>
      </c>
      <c r="J29" s="31">
        <v>1922.8836000000001</v>
      </c>
      <c r="K29" s="31">
        <v>2481.5987999999998</v>
      </c>
      <c r="L29" s="84">
        <v>3548.7849061576803</v>
      </c>
      <c r="M29" s="34"/>
      <c r="N29" s="34"/>
      <c r="O29" s="34"/>
      <c r="P29" s="34"/>
      <c r="Q29" s="34"/>
      <c r="R29" s="34"/>
      <c r="S29" s="34"/>
      <c r="T29" s="34"/>
      <c r="U29" s="34"/>
      <c r="V29" s="34"/>
      <c r="W29" s="34"/>
      <c r="X29" s="34"/>
      <c r="Y29" s="34"/>
      <c r="Z29" s="34"/>
      <c r="AA29" s="34"/>
    </row>
    <row r="30" spans="1:27" ht="14" customHeight="1" x14ac:dyDescent="0.15">
      <c r="A30" s="35" t="s">
        <v>64</v>
      </c>
      <c r="B30" s="36" t="s">
        <v>4</v>
      </c>
      <c r="C30" s="54">
        <v>868.21</v>
      </c>
      <c r="D30" s="54">
        <f t="shared" si="2"/>
        <v>2962.3325199999999</v>
      </c>
      <c r="E30" s="37">
        <v>1409.3339999999998</v>
      </c>
      <c r="F30" s="37">
        <v>240.46499999999997</v>
      </c>
      <c r="G30" s="37">
        <v>1670.7089999999998</v>
      </c>
      <c r="H30" s="37">
        <v>1816.0335</v>
      </c>
      <c r="I30" s="37">
        <v>1941.4934999999998</v>
      </c>
      <c r="J30" s="37">
        <v>2294.3497499999999</v>
      </c>
      <c r="K30" s="37">
        <v>3022.3314</v>
      </c>
      <c r="L30" s="85">
        <v>4347.5328238739048</v>
      </c>
      <c r="M30" s="34"/>
      <c r="N30" s="34"/>
      <c r="O30" s="34"/>
      <c r="P30" s="34"/>
      <c r="Q30" s="34"/>
      <c r="R30" s="34"/>
      <c r="S30" s="34"/>
      <c r="T30" s="34"/>
      <c r="U30" s="34"/>
      <c r="V30" s="34"/>
      <c r="W30" s="34"/>
      <c r="X30" s="34"/>
      <c r="Y30" s="34"/>
      <c r="Z30" s="34"/>
      <c r="AA30" s="34"/>
    </row>
    <row r="31" spans="1:27" ht="14" customHeight="1" x14ac:dyDescent="0.15">
      <c r="A31" s="29" t="s">
        <v>65</v>
      </c>
      <c r="B31" s="30" t="s">
        <v>5</v>
      </c>
      <c r="C31" s="54">
        <v>1157.3500000000001</v>
      </c>
      <c r="D31" s="54">
        <f t="shared" si="2"/>
        <v>3948.8782000000006</v>
      </c>
      <c r="E31" s="31">
        <v>1762.713</v>
      </c>
      <c r="F31" s="31">
        <v>300.05849999999998</v>
      </c>
      <c r="G31" s="31">
        <v>2111.91</v>
      </c>
      <c r="H31" s="31">
        <v>2256.1889999999999</v>
      </c>
      <c r="I31" s="31">
        <v>2477.835</v>
      </c>
      <c r="J31" s="31">
        <v>2884.3254000000002</v>
      </c>
      <c r="K31" s="31">
        <v>3888.0054</v>
      </c>
      <c r="L31" s="84">
        <v>5625.9635943490566</v>
      </c>
      <c r="M31" s="34"/>
      <c r="N31" s="34"/>
      <c r="O31" s="34"/>
      <c r="P31" s="34"/>
      <c r="Q31" s="34"/>
      <c r="R31" s="34"/>
      <c r="S31" s="34"/>
      <c r="T31" s="34"/>
      <c r="U31" s="34"/>
      <c r="V31" s="34"/>
      <c r="W31" s="34"/>
      <c r="X31" s="34"/>
      <c r="Y31" s="34"/>
      <c r="Z31" s="34"/>
      <c r="AA31" s="34"/>
    </row>
    <row r="32" spans="1:27" ht="14" customHeight="1" x14ac:dyDescent="0.15">
      <c r="A32" s="35" t="s">
        <v>76</v>
      </c>
      <c r="B32" s="36" t="s">
        <v>77</v>
      </c>
      <c r="C32" s="54">
        <v>1447.28</v>
      </c>
      <c r="D32" s="54">
        <f t="shared" si="2"/>
        <v>4938.1193599999997</v>
      </c>
      <c r="E32" s="37">
        <v>2284.4175</v>
      </c>
      <c r="F32" s="37">
        <v>378.47099999999995</v>
      </c>
      <c r="G32" s="37">
        <v>2765.3474999999994</v>
      </c>
      <c r="H32" s="37">
        <v>2909.6264999999999</v>
      </c>
      <c r="I32" s="38">
        <v>3268.2329999999997</v>
      </c>
      <c r="J32" s="38">
        <v>3753.7632000000003</v>
      </c>
      <c r="K32" s="38">
        <v>5163.9335999999994</v>
      </c>
      <c r="L32" s="39">
        <v>7512.1373456952506</v>
      </c>
      <c r="M32" s="34"/>
      <c r="N32" s="34"/>
      <c r="O32" s="34"/>
      <c r="P32" s="34"/>
      <c r="Q32" s="34"/>
      <c r="R32" s="34"/>
      <c r="S32" s="34"/>
      <c r="T32" s="34"/>
      <c r="U32" s="34"/>
      <c r="V32" s="34"/>
      <c r="W32" s="34"/>
      <c r="X32" s="34"/>
      <c r="Y32" s="34"/>
      <c r="Z32" s="34"/>
      <c r="AA32" s="34"/>
    </row>
    <row r="33" spans="1:27" ht="14" customHeight="1" x14ac:dyDescent="0.15">
      <c r="A33" s="29" t="s">
        <v>66</v>
      </c>
      <c r="B33" s="30" t="s">
        <v>6</v>
      </c>
      <c r="C33" s="54">
        <v>1085.46</v>
      </c>
      <c r="D33" s="54">
        <f t="shared" si="2"/>
        <v>3703.58952</v>
      </c>
      <c r="E33" s="31">
        <v>1391.5604999999998</v>
      </c>
      <c r="F33" s="31">
        <v>180.8715</v>
      </c>
      <c r="G33" s="31">
        <v>1648.7535</v>
      </c>
      <c r="H33" s="31">
        <v>1794.078</v>
      </c>
      <c r="I33" s="31">
        <v>1915.3559999999998</v>
      </c>
      <c r="J33" s="31">
        <v>2265.5985000000001</v>
      </c>
      <c r="K33" s="31">
        <v>2980.9295999999995</v>
      </c>
      <c r="L33" s="84">
        <v>4286.7585257868013</v>
      </c>
      <c r="M33" s="34"/>
      <c r="N33" s="34"/>
      <c r="O33" s="34"/>
      <c r="P33" s="34"/>
      <c r="Q33" s="34"/>
      <c r="R33" s="34"/>
      <c r="S33" s="34"/>
      <c r="T33" s="34"/>
      <c r="U33" s="34"/>
      <c r="V33" s="34"/>
      <c r="W33" s="34"/>
      <c r="X33" s="34"/>
      <c r="Y33" s="34"/>
      <c r="Z33" s="34"/>
      <c r="AA33" s="34"/>
    </row>
    <row r="34" spans="1:27" ht="14" customHeight="1" x14ac:dyDescent="0.15">
      <c r="A34" s="35" t="s">
        <v>67</v>
      </c>
      <c r="B34" s="36" t="s">
        <v>69</v>
      </c>
      <c r="C34" s="54">
        <v>1663.74</v>
      </c>
      <c r="D34" s="54">
        <f t="shared" si="2"/>
        <v>5676.6808799999999</v>
      </c>
      <c r="E34" s="37">
        <v>1780.4864999999998</v>
      </c>
      <c r="F34" s="37">
        <v>240.46499999999997</v>
      </c>
      <c r="G34" s="37">
        <v>2134.9109999999996</v>
      </c>
      <c r="H34" s="37">
        <v>2279.19</v>
      </c>
      <c r="I34" s="37">
        <v>2506.0634999999997</v>
      </c>
      <c r="J34" s="37">
        <v>2915.3767500000004</v>
      </c>
      <c r="K34" s="37">
        <v>3931.9163999999996</v>
      </c>
      <c r="L34" s="85">
        <v>5693.2494243740666</v>
      </c>
      <c r="M34" s="34"/>
      <c r="N34" s="34"/>
      <c r="O34" s="34"/>
      <c r="P34" s="34"/>
      <c r="Q34" s="34"/>
      <c r="R34" s="34"/>
      <c r="S34" s="34"/>
      <c r="T34" s="34"/>
      <c r="U34" s="34"/>
      <c r="V34" s="34"/>
      <c r="W34" s="34"/>
      <c r="X34" s="34"/>
      <c r="Y34" s="34"/>
      <c r="Z34" s="34"/>
      <c r="AA34" s="34"/>
    </row>
    <row r="35" spans="1:27" ht="14" customHeight="1" x14ac:dyDescent="0.15">
      <c r="A35" s="29" t="s">
        <v>68</v>
      </c>
      <c r="B35" s="30" t="s">
        <v>70</v>
      </c>
      <c r="C35" s="54">
        <v>2242.81</v>
      </c>
      <c r="D35" s="54">
        <f t="shared" si="2"/>
        <v>7652.4677199999996</v>
      </c>
      <c r="E35" s="31">
        <v>2171.5034999999998</v>
      </c>
      <c r="F35" s="31">
        <v>300.05849999999998</v>
      </c>
      <c r="G35" s="31">
        <v>2621.0684999999999</v>
      </c>
      <c r="H35" s="31">
        <v>2766.3929999999996</v>
      </c>
      <c r="I35" s="31">
        <v>3099.9074999999998</v>
      </c>
      <c r="J35" s="31">
        <v>3568.6051499999999</v>
      </c>
      <c r="K35" s="31">
        <v>4884.1578</v>
      </c>
      <c r="L35" s="84">
        <v>7099.7403229613292</v>
      </c>
      <c r="M35" s="34"/>
      <c r="N35" s="34"/>
      <c r="O35" s="34"/>
      <c r="P35" s="34"/>
      <c r="Q35" s="34"/>
      <c r="R35" s="34"/>
      <c r="S35" s="34"/>
      <c r="T35" s="34"/>
      <c r="U35" s="34"/>
      <c r="V35" s="34"/>
      <c r="W35" s="34"/>
      <c r="X35" s="34"/>
      <c r="Y35" s="34"/>
      <c r="Z35" s="34"/>
      <c r="AA35" s="34"/>
    </row>
    <row r="36" spans="1:27" ht="14" customHeight="1" x14ac:dyDescent="0.15">
      <c r="A36" s="35" t="s">
        <v>78</v>
      </c>
      <c r="B36" s="36" t="s">
        <v>79</v>
      </c>
      <c r="C36" s="54">
        <v>2821.88</v>
      </c>
      <c r="D36" s="54">
        <f t="shared" si="2"/>
        <v>9628.2545599999994</v>
      </c>
      <c r="E36" s="37">
        <v>2892.8984999999998</v>
      </c>
      <c r="F36" s="37">
        <v>378.47099999999995</v>
      </c>
      <c r="G36" s="37">
        <v>3523.3349999999996</v>
      </c>
      <c r="H36" s="37">
        <v>3668.6594999999998</v>
      </c>
      <c r="I36" s="38">
        <v>4131.8159999999998</v>
      </c>
      <c r="J36" s="38">
        <v>4703.7045000000007</v>
      </c>
      <c r="K36" s="38">
        <v>6646.8707999999997</v>
      </c>
      <c r="L36" s="39">
        <v>9704.3530981229324</v>
      </c>
      <c r="M36" s="34"/>
      <c r="N36" s="34"/>
      <c r="O36" s="34"/>
      <c r="P36" s="34"/>
      <c r="Q36" s="34"/>
      <c r="R36" s="34"/>
      <c r="S36" s="34"/>
      <c r="T36" s="34"/>
      <c r="U36" s="34"/>
      <c r="V36" s="34"/>
      <c r="W36" s="34"/>
      <c r="X36" s="34"/>
      <c r="Y36" s="34"/>
      <c r="Z36" s="34"/>
      <c r="AA36" s="34"/>
    </row>
    <row r="37" spans="1:27" ht="14" customHeight="1" x14ac:dyDescent="0.15">
      <c r="A37" s="416" t="s">
        <v>268</v>
      </c>
      <c r="B37" s="417"/>
      <c r="C37" s="417"/>
      <c r="D37" s="417"/>
      <c r="E37" s="417"/>
      <c r="F37" s="417"/>
      <c r="G37" s="417"/>
      <c r="H37" s="417"/>
      <c r="I37" s="417"/>
      <c r="J37" s="417"/>
      <c r="K37" s="417"/>
      <c r="L37" s="418"/>
      <c r="M37" s="56"/>
      <c r="N37" s="56"/>
    </row>
    <row r="38" spans="1:27" ht="29" customHeight="1" x14ac:dyDescent="0.15">
      <c r="A38" s="413" t="s">
        <v>258</v>
      </c>
      <c r="B38" s="414"/>
      <c r="C38" s="414"/>
      <c r="D38" s="414"/>
      <c r="E38" s="414"/>
      <c r="F38" s="414"/>
      <c r="G38" s="414"/>
      <c r="H38" s="414"/>
      <c r="I38" s="414"/>
      <c r="J38" s="414"/>
      <c r="K38" s="414"/>
      <c r="L38" s="415"/>
      <c r="M38" s="56"/>
      <c r="N38" s="56"/>
    </row>
    <row r="39" spans="1:27" ht="14" customHeight="1" x14ac:dyDescent="0.15">
      <c r="A39" s="340" t="s">
        <v>313</v>
      </c>
      <c r="B39" s="341"/>
      <c r="C39" s="341"/>
      <c r="D39" s="341"/>
      <c r="E39" s="341"/>
      <c r="F39" s="341"/>
      <c r="G39" s="341"/>
      <c r="H39" s="341"/>
      <c r="I39" s="341"/>
      <c r="J39" s="341"/>
      <c r="K39" s="341"/>
      <c r="L39" s="342"/>
    </row>
    <row r="40" spans="1:27" ht="14" customHeight="1" x14ac:dyDescent="0.15">
      <c r="A40" s="412" t="s">
        <v>310</v>
      </c>
      <c r="B40" s="341"/>
      <c r="C40" s="341"/>
      <c r="D40" s="341"/>
      <c r="E40" s="341"/>
      <c r="F40" s="341"/>
      <c r="G40" s="341"/>
      <c r="H40" s="341"/>
      <c r="I40" s="341"/>
      <c r="J40" s="341"/>
      <c r="K40" s="341"/>
      <c r="L40" s="342"/>
    </row>
    <row r="41" spans="1:27" ht="14" customHeight="1" x14ac:dyDescent="0.15">
      <c r="A41" s="346" t="s">
        <v>240</v>
      </c>
      <c r="B41" s="347"/>
      <c r="C41" s="347"/>
      <c r="D41" s="347"/>
      <c r="E41" s="347"/>
      <c r="F41" s="347"/>
      <c r="G41" s="347"/>
      <c r="H41" s="347"/>
      <c r="I41" s="347"/>
      <c r="J41" s="347"/>
      <c r="K41" s="347"/>
      <c r="L41" s="348"/>
    </row>
    <row r="42" spans="1:27" ht="14" customHeight="1" x14ac:dyDescent="0.15">
      <c r="A42" s="349" t="s">
        <v>73</v>
      </c>
      <c r="B42" s="350"/>
      <c r="C42" s="350"/>
      <c r="D42" s="350"/>
      <c r="E42" s="350"/>
      <c r="F42" s="350"/>
      <c r="G42" s="350"/>
      <c r="H42" s="350"/>
      <c r="I42" s="350"/>
      <c r="J42" s="350"/>
      <c r="K42" s="350"/>
      <c r="L42" s="351"/>
    </row>
    <row r="43" spans="1:27" ht="14" customHeight="1" thickBot="1" x14ac:dyDescent="0.2">
      <c r="A43" s="403" t="s">
        <v>261</v>
      </c>
      <c r="B43" s="404"/>
      <c r="C43" s="404"/>
      <c r="D43" s="404"/>
      <c r="E43" s="404"/>
      <c r="F43" s="404"/>
      <c r="G43" s="404"/>
      <c r="H43" s="404"/>
      <c r="I43" s="404"/>
      <c r="J43" s="404"/>
      <c r="K43" s="404"/>
      <c r="L43" s="405"/>
    </row>
    <row r="44" spans="1:27" x14ac:dyDescent="0.15">
      <c r="A44" s="323" t="s">
        <v>259</v>
      </c>
      <c r="B44" s="324"/>
      <c r="C44" s="324"/>
      <c r="D44" s="324"/>
      <c r="E44" s="324"/>
      <c r="F44" s="324"/>
      <c r="G44" s="324"/>
      <c r="H44" s="324"/>
      <c r="I44" s="324"/>
      <c r="J44" s="324"/>
      <c r="K44" s="324"/>
      <c r="L44" s="325"/>
    </row>
    <row r="45" spans="1:27" x14ac:dyDescent="0.15">
      <c r="A45" s="323" t="s">
        <v>254</v>
      </c>
      <c r="B45" s="324"/>
      <c r="C45" s="324"/>
      <c r="D45" s="324"/>
      <c r="E45" s="324"/>
      <c r="F45" s="324"/>
      <c r="G45" s="324"/>
      <c r="H45" s="324"/>
      <c r="I45" s="324"/>
      <c r="J45" s="324"/>
      <c r="K45" s="324"/>
      <c r="L45" s="325"/>
    </row>
    <row r="46" spans="1:27" ht="15" thickBot="1" x14ac:dyDescent="0.2">
      <c r="A46" s="326" t="s">
        <v>71</v>
      </c>
      <c r="B46" s="327"/>
      <c r="C46" s="327"/>
      <c r="D46" s="327"/>
      <c r="E46" s="327"/>
      <c r="F46" s="327"/>
      <c r="G46" s="327"/>
      <c r="H46" s="327"/>
      <c r="I46" s="327"/>
      <c r="J46" s="327"/>
      <c r="K46" s="327"/>
      <c r="L46" s="328"/>
    </row>
  </sheetData>
  <mergeCells count="30">
    <mergeCell ref="A1:G1"/>
    <mergeCell ref="A4:A5"/>
    <mergeCell ref="G4:G5"/>
    <mergeCell ref="L4:L5"/>
    <mergeCell ref="K4:K5"/>
    <mergeCell ref="B4:B5"/>
    <mergeCell ref="C4:C5"/>
    <mergeCell ref="D4:D5"/>
    <mergeCell ref="E4:E5"/>
    <mergeCell ref="F4:F5"/>
    <mergeCell ref="I4:I5"/>
    <mergeCell ref="A2:L2"/>
    <mergeCell ref="A3:L3"/>
    <mergeCell ref="H4:H5"/>
    <mergeCell ref="J4:J5"/>
    <mergeCell ref="A46:L46"/>
    <mergeCell ref="A43:L43"/>
    <mergeCell ref="A44:L44"/>
    <mergeCell ref="A45:L45"/>
    <mergeCell ref="A6:L6"/>
    <mergeCell ref="A14:L14"/>
    <mergeCell ref="A22:L22"/>
    <mergeCell ref="A39:L39"/>
    <mergeCell ref="A42:L42"/>
    <mergeCell ref="A40:L40"/>
    <mergeCell ref="A38:L38"/>
    <mergeCell ref="A41:L41"/>
    <mergeCell ref="A37:L37"/>
    <mergeCell ref="A13:L13"/>
    <mergeCell ref="A21:L21"/>
  </mergeCells>
  <phoneticPr fontId="6" type="noConversion"/>
  <pageMargins left="0.7" right="0.7" top="0.75" bottom="0.75" header="0.3" footer="0.3"/>
  <pageSetup paperSize="9" scale="61" orientation="landscape"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K53"/>
  <sheetViews>
    <sheetView zoomScale="160" zoomScaleNormal="160" workbookViewId="0">
      <pane ySplit="4" topLeftCell="A5" activePane="bottomLeft" state="frozen"/>
      <selection pane="bottomLeft" activeCell="G42" sqref="G7:G42"/>
    </sheetView>
  </sheetViews>
  <sheetFormatPr baseColWidth="10" defaultColWidth="8.796875" defaultRowHeight="14" x14ac:dyDescent="0.15"/>
  <cols>
    <col min="1" max="2" width="16" style="28" customWidth="1"/>
    <col min="3" max="3" width="16" style="91" customWidth="1"/>
    <col min="4" max="4" width="16" style="92" customWidth="1"/>
    <col min="5" max="6" width="16" style="28" customWidth="1"/>
    <col min="7" max="16384" width="8.796875" style="28"/>
  </cols>
  <sheetData>
    <row r="1" spans="1:11" ht="54" customHeight="1" thickBot="1" x14ac:dyDescent="0.2">
      <c r="A1" s="368"/>
      <c r="B1" s="368"/>
      <c r="C1" s="368"/>
      <c r="D1" s="368"/>
    </row>
    <row r="2" spans="1:11" ht="32" customHeight="1" x14ac:dyDescent="0.15">
      <c r="A2" s="398" t="s">
        <v>298</v>
      </c>
      <c r="B2" s="399"/>
      <c r="C2" s="399"/>
      <c r="D2" s="399"/>
      <c r="E2" s="399"/>
      <c r="F2" s="431"/>
    </row>
    <row r="3" spans="1:11" ht="40" customHeight="1" x14ac:dyDescent="0.15">
      <c r="A3" s="428" t="s">
        <v>235</v>
      </c>
      <c r="B3" s="429" t="s">
        <v>236</v>
      </c>
      <c r="C3" s="441" t="s">
        <v>242</v>
      </c>
      <c r="D3" s="441" t="s">
        <v>243</v>
      </c>
      <c r="E3" s="429" t="s">
        <v>299</v>
      </c>
      <c r="F3" s="430" t="s">
        <v>267</v>
      </c>
    </row>
    <row r="4" spans="1:11" ht="40" customHeight="1" x14ac:dyDescent="0.15">
      <c r="A4" s="428"/>
      <c r="B4" s="429"/>
      <c r="C4" s="441"/>
      <c r="D4" s="441"/>
      <c r="E4" s="429"/>
      <c r="F4" s="430"/>
    </row>
    <row r="5" spans="1:11" x14ac:dyDescent="0.15">
      <c r="A5" s="442" t="s">
        <v>264</v>
      </c>
      <c r="B5" s="443"/>
      <c r="C5" s="443"/>
      <c r="D5" s="443"/>
      <c r="E5" s="443"/>
      <c r="F5" s="444"/>
    </row>
    <row r="6" spans="1:11" ht="14" customHeight="1" x14ac:dyDescent="0.15">
      <c r="A6" s="438" t="s">
        <v>237</v>
      </c>
      <c r="B6" s="439"/>
      <c r="C6" s="439"/>
      <c r="D6" s="439"/>
      <c r="E6" s="439"/>
      <c r="F6" s="440"/>
    </row>
    <row r="7" spans="1:11" ht="14" customHeight="1" x14ac:dyDescent="0.15">
      <c r="A7" s="93" t="s">
        <v>81</v>
      </c>
      <c r="B7" s="94" t="s">
        <v>82</v>
      </c>
      <c r="C7" s="101">
        <v>576.70000000000005</v>
      </c>
      <c r="D7" s="101">
        <f t="shared" ref="D7:D12" si="0">C7*3.412</f>
        <v>1967.7004000000002</v>
      </c>
      <c r="E7" s="99">
        <v>1425.2255999999998</v>
      </c>
      <c r="F7" s="100">
        <v>1638.5075999999997</v>
      </c>
      <c r="G7" s="86"/>
      <c r="H7" s="86"/>
      <c r="I7" s="86"/>
      <c r="J7" s="86"/>
      <c r="K7" s="86"/>
    </row>
    <row r="8" spans="1:11" ht="14" customHeight="1" x14ac:dyDescent="0.15">
      <c r="A8" s="95" t="s">
        <v>83</v>
      </c>
      <c r="B8" s="96" t="s">
        <v>84</v>
      </c>
      <c r="C8" s="101">
        <v>1086.25</v>
      </c>
      <c r="D8" s="101">
        <f t="shared" si="0"/>
        <v>3706.2849999999999</v>
      </c>
      <c r="E8" s="101">
        <v>2024.9243999999999</v>
      </c>
      <c r="F8" s="103">
        <v>2329.7921999999999</v>
      </c>
      <c r="G8" s="86"/>
      <c r="H8" s="86"/>
      <c r="I8" s="86"/>
      <c r="J8" s="86"/>
      <c r="K8" s="86"/>
    </row>
    <row r="9" spans="1:11" ht="14" customHeight="1" x14ac:dyDescent="0.15">
      <c r="A9" s="93" t="s">
        <v>85</v>
      </c>
      <c r="B9" s="94" t="s">
        <v>86</v>
      </c>
      <c r="C9" s="101">
        <v>1753.8000000000002</v>
      </c>
      <c r="D9" s="101">
        <f t="shared" si="0"/>
        <v>5983.9656000000004</v>
      </c>
      <c r="E9" s="99">
        <v>2704.9175999999993</v>
      </c>
      <c r="F9" s="100">
        <v>3110.1533999999997</v>
      </c>
      <c r="G9" s="86"/>
      <c r="H9" s="86"/>
      <c r="I9" s="86"/>
      <c r="J9" s="86"/>
      <c r="K9" s="86"/>
    </row>
    <row r="10" spans="1:11" ht="14" customHeight="1" x14ac:dyDescent="0.15">
      <c r="A10" s="95" t="s">
        <v>87</v>
      </c>
      <c r="B10" s="96" t="s">
        <v>88</v>
      </c>
      <c r="C10" s="101">
        <v>1057.81</v>
      </c>
      <c r="D10" s="101">
        <f t="shared" si="0"/>
        <v>3609.2477199999998</v>
      </c>
      <c r="E10" s="101">
        <v>1913.2649999999996</v>
      </c>
      <c r="F10" s="103">
        <v>2201.8229999999994</v>
      </c>
      <c r="G10" s="86"/>
      <c r="H10" s="86"/>
      <c r="I10" s="86"/>
      <c r="J10" s="86"/>
    </row>
    <row r="11" spans="1:11" ht="14" customHeight="1" x14ac:dyDescent="0.15">
      <c r="A11" s="93" t="s">
        <v>89</v>
      </c>
      <c r="B11" s="94" t="s">
        <v>90</v>
      </c>
      <c r="C11" s="101">
        <v>2036.6200000000001</v>
      </c>
      <c r="D11" s="101">
        <f t="shared" si="0"/>
        <v>6948.9474399999999</v>
      </c>
      <c r="E11" s="99">
        <v>2536.8011999999994</v>
      </c>
      <c r="F11" s="100">
        <v>2916.9449999999997</v>
      </c>
      <c r="G11" s="86"/>
      <c r="H11" s="86"/>
      <c r="I11" s="86"/>
      <c r="J11" s="86"/>
    </row>
    <row r="12" spans="1:11" ht="14" customHeight="1" thickBot="1" x14ac:dyDescent="0.2">
      <c r="A12" s="97" t="s">
        <v>91</v>
      </c>
      <c r="B12" s="98" t="s">
        <v>92</v>
      </c>
      <c r="C12" s="102">
        <v>3333.01</v>
      </c>
      <c r="D12" s="102">
        <f t="shared" si="0"/>
        <v>11372.23012</v>
      </c>
      <c r="E12" s="102">
        <v>3456.4229999999993</v>
      </c>
      <c r="F12" s="104">
        <v>3975.8273999999997</v>
      </c>
      <c r="G12" s="86"/>
      <c r="H12" s="86"/>
      <c r="I12" s="86"/>
      <c r="J12" s="86"/>
    </row>
    <row r="13" spans="1:11" ht="14" customHeight="1" thickBot="1" x14ac:dyDescent="0.2">
      <c r="A13" s="87"/>
      <c r="B13" s="66"/>
      <c r="C13" s="88"/>
      <c r="D13" s="89"/>
      <c r="E13" s="86"/>
      <c r="F13" s="86"/>
      <c r="G13" s="86"/>
      <c r="H13" s="86"/>
      <c r="I13" s="86"/>
      <c r="J13" s="86"/>
    </row>
    <row r="14" spans="1:11" ht="14" customHeight="1" x14ac:dyDescent="0.15">
      <c r="A14" s="432" t="s">
        <v>238</v>
      </c>
      <c r="B14" s="433"/>
      <c r="C14" s="433"/>
      <c r="D14" s="433"/>
      <c r="E14" s="433"/>
      <c r="F14" s="434"/>
      <c r="G14" s="86"/>
      <c r="H14" s="86"/>
      <c r="I14" s="86"/>
      <c r="J14" s="86"/>
    </row>
    <row r="15" spans="1:11" ht="14" customHeight="1" x14ac:dyDescent="0.15">
      <c r="A15" s="93" t="s">
        <v>93</v>
      </c>
      <c r="B15" s="94" t="s">
        <v>94</v>
      </c>
      <c r="C15" s="101">
        <v>549.05000000000007</v>
      </c>
      <c r="D15" s="101">
        <f t="shared" ref="D15:D24" si="1">C15*3.412</f>
        <v>1873.3586000000003</v>
      </c>
      <c r="E15" s="99">
        <v>1525.5935999999999</v>
      </c>
      <c r="F15" s="100">
        <v>1755.1853999999998</v>
      </c>
      <c r="G15" s="86"/>
      <c r="H15" s="86"/>
      <c r="I15" s="86"/>
      <c r="J15" s="86"/>
    </row>
    <row r="16" spans="1:11" ht="14" customHeight="1" x14ac:dyDescent="0.15">
      <c r="A16" s="95" t="s">
        <v>95</v>
      </c>
      <c r="B16" s="96" t="s">
        <v>96</v>
      </c>
      <c r="C16" s="101">
        <v>668.34</v>
      </c>
      <c r="D16" s="101">
        <f t="shared" si="1"/>
        <v>2280.37608</v>
      </c>
      <c r="E16" s="101">
        <v>1659.8357999999996</v>
      </c>
      <c r="F16" s="103">
        <v>1909.5011999999999</v>
      </c>
      <c r="G16" s="86"/>
      <c r="H16" s="86"/>
      <c r="I16" s="86"/>
      <c r="J16" s="86"/>
    </row>
    <row r="17" spans="1:10" ht="14" customHeight="1" x14ac:dyDescent="0.15">
      <c r="A17" s="93" t="s">
        <v>97</v>
      </c>
      <c r="B17" s="94" t="s">
        <v>98</v>
      </c>
      <c r="C17" s="101">
        <v>701.52</v>
      </c>
      <c r="D17" s="101">
        <f t="shared" si="1"/>
        <v>2393.5862400000001</v>
      </c>
      <c r="E17" s="99">
        <v>1766.4767999999997</v>
      </c>
      <c r="F17" s="100">
        <v>2031.1973999999998</v>
      </c>
      <c r="G17" s="86"/>
      <c r="H17" s="86"/>
      <c r="I17" s="86"/>
      <c r="J17" s="86"/>
    </row>
    <row r="18" spans="1:10" ht="14" customHeight="1" x14ac:dyDescent="0.15">
      <c r="A18" s="95" t="s">
        <v>99</v>
      </c>
      <c r="B18" s="96" t="s">
        <v>100</v>
      </c>
      <c r="C18" s="101">
        <v>1098.1000000000001</v>
      </c>
      <c r="D18" s="101">
        <f t="shared" si="1"/>
        <v>3746.7172000000005</v>
      </c>
      <c r="E18" s="101">
        <v>2172.9672</v>
      </c>
      <c r="F18" s="103">
        <v>2497.9085999999998</v>
      </c>
      <c r="G18" s="86"/>
      <c r="H18" s="86"/>
      <c r="I18" s="86"/>
      <c r="J18" s="86"/>
    </row>
    <row r="19" spans="1:10" ht="14" customHeight="1" x14ac:dyDescent="0.15">
      <c r="A19" s="93" t="s">
        <v>101</v>
      </c>
      <c r="B19" s="94" t="s">
        <v>102</v>
      </c>
      <c r="C19" s="101">
        <v>1335.89</v>
      </c>
      <c r="D19" s="101">
        <f t="shared" si="1"/>
        <v>4558.0566800000006</v>
      </c>
      <c r="E19" s="99">
        <v>2422.6325999999999</v>
      </c>
      <c r="F19" s="100">
        <v>2785.212</v>
      </c>
      <c r="G19" s="86"/>
      <c r="H19" s="86"/>
      <c r="I19" s="86"/>
      <c r="J19" s="86"/>
    </row>
    <row r="20" spans="1:10" ht="14" customHeight="1" x14ac:dyDescent="0.15">
      <c r="A20" s="95" t="s">
        <v>103</v>
      </c>
      <c r="B20" s="96" t="s">
        <v>104</v>
      </c>
      <c r="C20" s="101">
        <v>1098.1000000000001</v>
      </c>
      <c r="D20" s="101">
        <f t="shared" si="1"/>
        <v>3746.7172000000005</v>
      </c>
      <c r="E20" s="101">
        <v>1780.2773999999999</v>
      </c>
      <c r="F20" s="103">
        <v>2048.7617999999998</v>
      </c>
      <c r="G20" s="86"/>
      <c r="H20" s="86"/>
      <c r="I20" s="86"/>
      <c r="J20" s="86"/>
    </row>
    <row r="21" spans="1:10" ht="14" customHeight="1" x14ac:dyDescent="0.15">
      <c r="A21" s="93" t="s">
        <v>105</v>
      </c>
      <c r="B21" s="94" t="s">
        <v>106</v>
      </c>
      <c r="C21" s="101">
        <v>1335.89</v>
      </c>
      <c r="D21" s="101">
        <f t="shared" si="1"/>
        <v>4558.0566800000006</v>
      </c>
      <c r="E21" s="99">
        <v>1952.1576</v>
      </c>
      <c r="F21" s="100">
        <v>2244.4793999999997</v>
      </c>
      <c r="G21" s="86"/>
      <c r="H21" s="86"/>
      <c r="I21" s="86"/>
      <c r="J21" s="86"/>
    </row>
    <row r="22" spans="1:10" ht="14" customHeight="1" x14ac:dyDescent="0.15">
      <c r="A22" s="95" t="s">
        <v>107</v>
      </c>
      <c r="B22" s="96" t="s">
        <v>108</v>
      </c>
      <c r="C22" s="101">
        <v>1227.6600000000001</v>
      </c>
      <c r="D22" s="101">
        <f t="shared" si="1"/>
        <v>4188.77592</v>
      </c>
      <c r="E22" s="101">
        <v>2051.2709999999997</v>
      </c>
      <c r="F22" s="103">
        <v>2357.3933999999999</v>
      </c>
      <c r="G22" s="86"/>
      <c r="H22" s="86"/>
      <c r="I22" s="86"/>
      <c r="J22" s="86"/>
    </row>
    <row r="23" spans="1:10" ht="14" customHeight="1" x14ac:dyDescent="0.15">
      <c r="A23" s="93" t="s">
        <v>109</v>
      </c>
      <c r="B23" s="94" t="s">
        <v>110</v>
      </c>
      <c r="C23" s="101">
        <v>1921.2800000000002</v>
      </c>
      <c r="D23" s="101">
        <f t="shared" si="1"/>
        <v>6555.4073600000002</v>
      </c>
      <c r="E23" s="99">
        <v>2554.3655999999992</v>
      </c>
      <c r="F23" s="100">
        <v>2937.0185999999994</v>
      </c>
      <c r="G23" s="86"/>
      <c r="H23" s="86"/>
      <c r="I23" s="86"/>
      <c r="J23" s="86"/>
    </row>
    <row r="24" spans="1:10" ht="14" customHeight="1" thickBot="1" x14ac:dyDescent="0.2">
      <c r="A24" s="97" t="s">
        <v>111</v>
      </c>
      <c r="B24" s="98" t="s">
        <v>112</v>
      </c>
      <c r="C24" s="102">
        <v>2337.61</v>
      </c>
      <c r="D24" s="102">
        <f t="shared" si="1"/>
        <v>7975.9253200000003</v>
      </c>
      <c r="E24" s="102">
        <v>2855.4695999999994</v>
      </c>
      <c r="F24" s="104">
        <v>3283.2882</v>
      </c>
      <c r="G24" s="86"/>
      <c r="H24" s="86"/>
      <c r="I24" s="86"/>
      <c r="J24" s="86"/>
    </row>
    <row r="25" spans="1:10" ht="14" customHeight="1" thickBot="1" x14ac:dyDescent="0.2">
      <c r="A25" s="87"/>
      <c r="B25" s="66"/>
      <c r="C25" s="88"/>
      <c r="D25" s="89"/>
      <c r="E25" s="86"/>
      <c r="F25" s="86"/>
      <c r="G25" s="86"/>
      <c r="H25" s="86"/>
      <c r="I25" s="86"/>
      <c r="J25" s="86"/>
    </row>
    <row r="26" spans="1:10" ht="14" customHeight="1" x14ac:dyDescent="0.15">
      <c r="A26" s="432" t="s">
        <v>239</v>
      </c>
      <c r="B26" s="433"/>
      <c r="C26" s="433"/>
      <c r="D26" s="433"/>
      <c r="E26" s="433"/>
      <c r="F26" s="434"/>
      <c r="G26" s="86"/>
      <c r="H26" s="86"/>
      <c r="I26" s="86"/>
      <c r="J26" s="86"/>
    </row>
    <row r="27" spans="1:10" ht="14" customHeight="1" x14ac:dyDescent="0.15">
      <c r="A27" s="93" t="s">
        <v>113</v>
      </c>
      <c r="B27" s="94" t="s">
        <v>114</v>
      </c>
      <c r="C27" s="101">
        <v>371.94780000000003</v>
      </c>
      <c r="D27" s="101">
        <f t="shared" ref="D27:D42" si="2">C27*3.412</f>
        <v>1269.0858936</v>
      </c>
      <c r="E27" s="99">
        <v>1891.9367999999997</v>
      </c>
      <c r="F27" s="100">
        <v>2176.7309999999998</v>
      </c>
      <c r="G27" s="86"/>
      <c r="H27" s="86"/>
      <c r="I27" s="86"/>
      <c r="J27" s="86"/>
    </row>
    <row r="28" spans="1:10" ht="14" customHeight="1" x14ac:dyDescent="0.15">
      <c r="A28" s="95" t="s">
        <v>115</v>
      </c>
      <c r="B28" s="96" t="s">
        <v>116</v>
      </c>
      <c r="C28" s="101">
        <v>520.16759999999999</v>
      </c>
      <c r="D28" s="101">
        <f t="shared" si="2"/>
        <v>1774.8118511999999</v>
      </c>
      <c r="E28" s="101">
        <v>2309.7185999999997</v>
      </c>
      <c r="F28" s="103">
        <v>2655.9881999999998</v>
      </c>
      <c r="G28" s="86"/>
      <c r="H28" s="86"/>
      <c r="I28" s="86"/>
      <c r="J28" s="86"/>
    </row>
    <row r="29" spans="1:10" ht="14" customHeight="1" x14ac:dyDescent="0.15">
      <c r="A29" s="93" t="s">
        <v>117</v>
      </c>
      <c r="B29" s="94" t="s">
        <v>118</v>
      </c>
      <c r="C29" s="101">
        <v>624.57399999999996</v>
      </c>
      <c r="D29" s="101">
        <f t="shared" si="2"/>
        <v>2131.046488</v>
      </c>
      <c r="E29" s="99">
        <v>1748.9123999999999</v>
      </c>
      <c r="F29" s="100">
        <v>2011.1237999999996</v>
      </c>
      <c r="G29" s="86"/>
      <c r="H29" s="86"/>
      <c r="I29" s="86"/>
      <c r="J29" s="86"/>
    </row>
    <row r="30" spans="1:10" ht="14" customHeight="1" x14ac:dyDescent="0.15">
      <c r="A30" s="95" t="s">
        <v>119</v>
      </c>
      <c r="B30" s="96" t="s">
        <v>120</v>
      </c>
      <c r="C30" s="101">
        <v>936.86099999999999</v>
      </c>
      <c r="D30" s="101">
        <f t="shared" si="2"/>
        <v>3196.5697319999999</v>
      </c>
      <c r="E30" s="101">
        <v>2382.4853999999996</v>
      </c>
      <c r="F30" s="103">
        <v>2738.7917999999995</v>
      </c>
      <c r="G30" s="86"/>
      <c r="H30" s="86"/>
      <c r="I30" s="86"/>
      <c r="J30" s="86"/>
    </row>
    <row r="31" spans="1:10" ht="14" customHeight="1" x14ac:dyDescent="0.15">
      <c r="A31" s="93" t="s">
        <v>121</v>
      </c>
      <c r="B31" s="94" t="s">
        <v>122</v>
      </c>
      <c r="C31" s="101">
        <v>1311.6054000000001</v>
      </c>
      <c r="D31" s="101">
        <f t="shared" si="2"/>
        <v>4475.1976248000001</v>
      </c>
      <c r="E31" s="99">
        <v>2960.8560000000002</v>
      </c>
      <c r="F31" s="100">
        <v>3403.7297999999996</v>
      </c>
      <c r="G31" s="86"/>
      <c r="H31" s="86"/>
      <c r="I31" s="86"/>
      <c r="J31" s="86"/>
    </row>
    <row r="32" spans="1:10" ht="14" customHeight="1" x14ac:dyDescent="0.15">
      <c r="A32" s="95" t="s">
        <v>133</v>
      </c>
      <c r="B32" s="96" t="s">
        <v>134</v>
      </c>
      <c r="C32" s="101">
        <v>769.06500000000005</v>
      </c>
      <c r="D32" s="101">
        <f t="shared" si="2"/>
        <v>2624.0497800000003</v>
      </c>
      <c r="E32" s="101">
        <v>1756.4399999999998</v>
      </c>
      <c r="F32" s="103">
        <v>2018.6513999999997</v>
      </c>
      <c r="G32" s="86"/>
      <c r="H32" s="86"/>
      <c r="I32" s="86"/>
      <c r="J32" s="86"/>
    </row>
    <row r="33" spans="1:10" ht="14" customHeight="1" x14ac:dyDescent="0.15">
      <c r="A33" s="93" t="s">
        <v>135</v>
      </c>
      <c r="B33" s="94" t="s">
        <v>136</v>
      </c>
      <c r="C33" s="101">
        <v>1317.1985999999999</v>
      </c>
      <c r="D33" s="101">
        <f t="shared" si="2"/>
        <v>4494.2816231999996</v>
      </c>
      <c r="E33" s="99">
        <v>2230.6787999999997</v>
      </c>
      <c r="F33" s="100">
        <v>2564.4023999999999</v>
      </c>
      <c r="G33" s="86"/>
      <c r="H33" s="86"/>
      <c r="I33" s="86"/>
      <c r="J33" s="86"/>
    </row>
    <row r="34" spans="1:10" ht="14" customHeight="1" x14ac:dyDescent="0.15">
      <c r="A34" s="95" t="s">
        <v>137</v>
      </c>
      <c r="B34" s="96" t="s">
        <v>138</v>
      </c>
      <c r="C34" s="101">
        <v>1634.1466</v>
      </c>
      <c r="D34" s="101">
        <f t="shared" si="2"/>
        <v>5575.7081992000003</v>
      </c>
      <c r="E34" s="101">
        <v>2989.7118</v>
      </c>
      <c r="F34" s="103">
        <v>3437.6039999999994</v>
      </c>
      <c r="G34" s="86"/>
      <c r="H34" s="86"/>
      <c r="I34" s="86"/>
      <c r="J34" s="86"/>
    </row>
    <row r="35" spans="1:10" ht="14" customHeight="1" x14ac:dyDescent="0.15">
      <c r="A35" s="93" t="s">
        <v>123</v>
      </c>
      <c r="B35" s="94" t="s">
        <v>124</v>
      </c>
      <c r="C35" s="101">
        <v>718.72620000000006</v>
      </c>
      <c r="D35" s="101">
        <f t="shared" si="2"/>
        <v>2452.2937944</v>
      </c>
      <c r="E35" s="99">
        <v>2456.5067999999997</v>
      </c>
      <c r="F35" s="100">
        <v>2825.3591999999999</v>
      </c>
      <c r="G35" s="86"/>
      <c r="H35" s="86"/>
      <c r="I35" s="86"/>
      <c r="J35" s="86"/>
    </row>
    <row r="36" spans="1:10" ht="14" customHeight="1" x14ac:dyDescent="0.15">
      <c r="A36" s="95" t="s">
        <v>125</v>
      </c>
      <c r="B36" s="96" t="s">
        <v>126</v>
      </c>
      <c r="C36" s="101">
        <v>966.69139999999993</v>
      </c>
      <c r="D36" s="101">
        <f t="shared" si="2"/>
        <v>3298.3510567999997</v>
      </c>
      <c r="E36" s="101">
        <v>3140.2638000000002</v>
      </c>
      <c r="F36" s="103">
        <v>3610.7388000000001</v>
      </c>
      <c r="G36" s="86"/>
      <c r="H36" s="86"/>
      <c r="I36" s="86"/>
      <c r="J36" s="86"/>
    </row>
    <row r="37" spans="1:10" ht="14" customHeight="1" x14ac:dyDescent="0.15">
      <c r="A37" s="93" t="s">
        <v>127</v>
      </c>
      <c r="B37" s="94" t="s">
        <v>128</v>
      </c>
      <c r="C37" s="101">
        <v>1186.6905999999999</v>
      </c>
      <c r="D37" s="101">
        <f t="shared" si="2"/>
        <v>4048.9883271999997</v>
      </c>
      <c r="E37" s="99">
        <v>2230.6787999999997</v>
      </c>
      <c r="F37" s="100">
        <v>2564.4023999999999</v>
      </c>
      <c r="G37" s="86"/>
      <c r="H37" s="86"/>
      <c r="I37" s="86"/>
      <c r="J37" s="86"/>
    </row>
    <row r="38" spans="1:10" ht="14" customHeight="1" x14ac:dyDescent="0.15">
      <c r="A38" s="95" t="s">
        <v>129</v>
      </c>
      <c r="B38" s="96" t="s">
        <v>130</v>
      </c>
      <c r="C38" s="101">
        <v>1810.3324</v>
      </c>
      <c r="D38" s="101">
        <f t="shared" si="2"/>
        <v>6176.8541488000001</v>
      </c>
      <c r="E38" s="101">
        <v>3080.0429999999997</v>
      </c>
      <c r="F38" s="103">
        <v>3541.7357999999999</v>
      </c>
      <c r="G38" s="86"/>
      <c r="H38" s="86"/>
      <c r="I38" s="86"/>
      <c r="J38" s="86"/>
    </row>
    <row r="39" spans="1:10" ht="14" customHeight="1" x14ac:dyDescent="0.15">
      <c r="A39" s="93" t="s">
        <v>131</v>
      </c>
      <c r="B39" s="94" t="s">
        <v>132</v>
      </c>
      <c r="C39" s="101">
        <v>2434.9063999999998</v>
      </c>
      <c r="D39" s="101">
        <f t="shared" si="2"/>
        <v>8307.9006367999991</v>
      </c>
      <c r="E39" s="99">
        <v>3979.5911999999994</v>
      </c>
      <c r="F39" s="100">
        <v>4575.5261999999993</v>
      </c>
      <c r="G39" s="86"/>
      <c r="H39" s="86"/>
      <c r="I39" s="86"/>
      <c r="J39" s="86"/>
    </row>
    <row r="40" spans="1:10" ht="14" customHeight="1" x14ac:dyDescent="0.15">
      <c r="A40" s="95" t="s">
        <v>139</v>
      </c>
      <c r="B40" s="96" t="s">
        <v>140</v>
      </c>
      <c r="C40" s="101">
        <v>1442.1134</v>
      </c>
      <c r="D40" s="101">
        <f t="shared" si="2"/>
        <v>4920.4909207999999</v>
      </c>
      <c r="E40" s="101">
        <v>2195.5499999999997</v>
      </c>
      <c r="F40" s="103">
        <v>2524.2551999999996</v>
      </c>
      <c r="G40" s="86"/>
      <c r="H40" s="86"/>
      <c r="I40" s="86"/>
      <c r="J40" s="86"/>
    </row>
    <row r="41" spans="1:10" ht="14" customHeight="1" x14ac:dyDescent="0.15">
      <c r="A41" s="93" t="s">
        <v>141</v>
      </c>
      <c r="B41" s="94" t="s">
        <v>142</v>
      </c>
      <c r="C41" s="101">
        <v>2633.4650000000001</v>
      </c>
      <c r="D41" s="101">
        <f t="shared" si="2"/>
        <v>8985.3825799999995</v>
      </c>
      <c r="E41" s="99">
        <v>3028.6043999999997</v>
      </c>
      <c r="F41" s="100">
        <v>3482.7695999999992</v>
      </c>
      <c r="G41" s="86"/>
      <c r="H41" s="86"/>
      <c r="I41" s="86"/>
      <c r="J41" s="86"/>
    </row>
    <row r="42" spans="1:10" ht="14" customHeight="1" thickBot="1" x14ac:dyDescent="0.2">
      <c r="A42" s="97" t="s">
        <v>143</v>
      </c>
      <c r="B42" s="98" t="s">
        <v>144</v>
      </c>
      <c r="C42" s="102">
        <v>2980.2433999999998</v>
      </c>
      <c r="D42" s="102">
        <f t="shared" si="2"/>
        <v>10168.5904808</v>
      </c>
      <c r="E42" s="102">
        <v>3862.9133999999999</v>
      </c>
      <c r="F42" s="104">
        <v>4442.5385999999999</v>
      </c>
      <c r="G42" s="86"/>
      <c r="H42" s="86"/>
      <c r="I42" s="86"/>
      <c r="J42" s="86"/>
    </row>
    <row r="43" spans="1:10" ht="14" customHeight="1" x14ac:dyDescent="0.15">
      <c r="A43" s="445" t="s">
        <v>257</v>
      </c>
      <c r="B43" s="446"/>
      <c r="C43" s="446"/>
      <c r="D43" s="446"/>
      <c r="E43" s="446"/>
      <c r="F43" s="447"/>
    </row>
    <row r="44" spans="1:10" ht="20" customHeight="1" x14ac:dyDescent="0.15">
      <c r="A44" s="435" t="s">
        <v>314</v>
      </c>
      <c r="B44" s="436"/>
      <c r="C44" s="436"/>
      <c r="D44" s="436"/>
      <c r="E44" s="436"/>
      <c r="F44" s="437"/>
    </row>
    <row r="45" spans="1:10" ht="14" customHeight="1" x14ac:dyDescent="0.15">
      <c r="A45" s="454" t="s">
        <v>291</v>
      </c>
      <c r="B45" s="455"/>
      <c r="C45" s="455"/>
      <c r="D45" s="455"/>
      <c r="E45" s="455"/>
      <c r="F45" s="456"/>
    </row>
    <row r="46" spans="1:10" ht="14" customHeight="1" x14ac:dyDescent="0.15">
      <c r="A46" s="454" t="s">
        <v>311</v>
      </c>
      <c r="B46" s="463"/>
      <c r="C46" s="463"/>
      <c r="D46" s="463"/>
      <c r="E46" s="463"/>
      <c r="F46" s="464"/>
    </row>
    <row r="47" spans="1:10" ht="35" customHeight="1" thickBot="1" x14ac:dyDescent="0.2">
      <c r="A47" s="460" t="s">
        <v>310</v>
      </c>
      <c r="B47" s="461"/>
      <c r="C47" s="461"/>
      <c r="D47" s="461"/>
      <c r="E47" s="461"/>
      <c r="F47" s="462"/>
    </row>
    <row r="48" spans="1:10" s="90" customFormat="1" ht="35" customHeight="1" x14ac:dyDescent="0.15">
      <c r="A48" s="457" t="s">
        <v>230</v>
      </c>
      <c r="B48" s="458"/>
      <c r="C48" s="458"/>
      <c r="D48" s="458"/>
      <c r="E48" s="458"/>
      <c r="F48" s="459"/>
    </row>
    <row r="49" spans="1:6" s="90" customFormat="1" ht="14" customHeight="1" thickBot="1" x14ac:dyDescent="0.2">
      <c r="A49" s="457" t="s">
        <v>73</v>
      </c>
      <c r="B49" s="458"/>
      <c r="C49" s="458"/>
      <c r="D49" s="458"/>
      <c r="E49" s="458"/>
      <c r="F49" s="459"/>
    </row>
    <row r="50" spans="1:6" ht="14" customHeight="1" x14ac:dyDescent="0.15">
      <c r="A50" s="465" t="s">
        <v>261</v>
      </c>
      <c r="B50" s="466"/>
      <c r="C50" s="466"/>
      <c r="D50" s="466"/>
      <c r="E50" s="466"/>
      <c r="F50" s="467"/>
    </row>
    <row r="51" spans="1:6" ht="14" customHeight="1" x14ac:dyDescent="0.15">
      <c r="A51" s="451" t="s">
        <v>259</v>
      </c>
      <c r="B51" s="452"/>
      <c r="C51" s="452"/>
      <c r="D51" s="452"/>
      <c r="E51" s="452"/>
      <c r="F51" s="453"/>
    </row>
    <row r="52" spans="1:6" ht="14" customHeight="1" x14ac:dyDescent="0.15">
      <c r="A52" s="451" t="s">
        <v>255</v>
      </c>
      <c r="B52" s="452"/>
      <c r="C52" s="452"/>
      <c r="D52" s="452"/>
      <c r="E52" s="452"/>
      <c r="F52" s="453"/>
    </row>
    <row r="53" spans="1:6" ht="14" customHeight="1" thickBot="1" x14ac:dyDescent="0.2">
      <c r="A53" s="448" t="s">
        <v>71</v>
      </c>
      <c r="B53" s="449"/>
      <c r="C53" s="449"/>
      <c r="D53" s="449"/>
      <c r="E53" s="449"/>
      <c r="F53" s="450"/>
    </row>
  </sheetData>
  <mergeCells count="23">
    <mergeCell ref="A53:F53"/>
    <mergeCell ref="A52:F52"/>
    <mergeCell ref="A45:F45"/>
    <mergeCell ref="A48:F48"/>
    <mergeCell ref="A49:F49"/>
    <mergeCell ref="A47:F47"/>
    <mergeCell ref="A51:F51"/>
    <mergeCell ref="A46:F46"/>
    <mergeCell ref="A50:F50"/>
    <mergeCell ref="A26:F26"/>
    <mergeCell ref="A44:F44"/>
    <mergeCell ref="A6:F6"/>
    <mergeCell ref="A14:F14"/>
    <mergeCell ref="B3:B4"/>
    <mergeCell ref="C3:C4"/>
    <mergeCell ref="D3:D4"/>
    <mergeCell ref="A5:F5"/>
    <mergeCell ref="A43:F43"/>
    <mergeCell ref="A1:D1"/>
    <mergeCell ref="A3:A4"/>
    <mergeCell ref="E3:E4"/>
    <mergeCell ref="F3:F4"/>
    <mergeCell ref="A2:F2"/>
  </mergeCells>
  <phoneticPr fontId="6" type="noConversion"/>
  <pageMargins left="0.75" right="0.75" top="1" bottom="1" header="0.5" footer="0.5"/>
  <pageSetup paperSize="9" scale="79" orientation="portrait" horizontalDpi="4294967292" verticalDpi="429496729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W152"/>
  <sheetViews>
    <sheetView zoomScale="150" zoomScaleNormal="150" workbookViewId="0">
      <selection activeCell="A13" sqref="A13:I13"/>
    </sheetView>
  </sheetViews>
  <sheetFormatPr baseColWidth="10" defaultColWidth="0" defaultRowHeight="14" x14ac:dyDescent="0.15"/>
  <cols>
    <col min="1" max="1" width="22.3984375" style="66" customWidth="1"/>
    <col min="2" max="2" width="12.19921875" style="66" customWidth="1"/>
    <col min="3" max="9" width="14" style="66" customWidth="1"/>
    <col min="10" max="10" width="11.796875" style="66" bestFit="1" customWidth="1"/>
    <col min="11" max="14" width="11.3984375" style="66" bestFit="1" customWidth="1"/>
    <col min="15" max="17" width="9.19921875" style="66" customWidth="1"/>
    <col min="18" max="18" width="10.3984375" style="66" bestFit="1" customWidth="1"/>
    <col min="19" max="20" width="11.3984375" style="66" bestFit="1" customWidth="1"/>
    <col min="21" max="22" width="9.19921875" style="66" customWidth="1"/>
    <col min="23" max="178" width="8.796875" style="66" customWidth="1"/>
    <col min="179" max="188" width="9.19921875" style="66" customWidth="1"/>
    <col min="189" max="189" width="30.796875" style="66" customWidth="1"/>
    <col min="190" max="192" width="9.19921875" style="66" customWidth="1"/>
    <col min="193" max="193" width="33.19921875" style="66" customWidth="1"/>
    <col min="194" max="195" width="31.796875" style="66" customWidth="1"/>
    <col min="196" max="196" width="39.796875" style="66" customWidth="1"/>
    <col min="197" max="197" width="35" style="66" customWidth="1"/>
    <col min="198" max="198" width="37.3984375" style="66" customWidth="1"/>
    <col min="199" max="200" width="40.796875" style="66" customWidth="1"/>
    <col min="201" max="201" width="48.19921875" style="66" customWidth="1"/>
    <col min="202" max="202" width="22.796875" style="66" customWidth="1"/>
    <col min="203" max="203" width="27.796875" style="66" customWidth="1"/>
    <col min="204" max="204" width="20.3984375" style="66" customWidth="1"/>
    <col min="205" max="205" width="19.19921875" style="66" hidden="1" customWidth="1"/>
    <col min="206" max="206" width="21.3984375" style="66" customWidth="1"/>
    <col min="207" max="207" width="20.3984375" style="66" customWidth="1"/>
    <col min="208" max="208" width="21" style="66" customWidth="1"/>
    <col min="209" max="209" width="24.3984375" style="66" customWidth="1"/>
    <col min="210" max="210" width="31.3984375" style="66" customWidth="1"/>
    <col min="211" max="211" width="18.3984375" style="66" customWidth="1"/>
    <col min="212" max="212" width="16.3984375" style="66" customWidth="1"/>
    <col min="213" max="240" width="9.19921875" style="66" customWidth="1"/>
    <col min="241" max="241" width="19.796875" style="66" customWidth="1"/>
    <col min="242" max="242" width="13.19921875" style="68" customWidth="1"/>
    <col min="243" max="256" width="9.19921875" style="68" customWidth="1"/>
    <col min="257" max="257" width="0" style="68" hidden="1" customWidth="1"/>
    <col min="258" max="16384" width="9.19921875" style="68" hidden="1"/>
  </cols>
  <sheetData>
    <row r="1" spans="1:252" x14ac:dyDescent="0.15">
      <c r="A1" s="397"/>
      <c r="B1" s="397"/>
    </row>
    <row r="2" spans="1:252" x14ac:dyDescent="0.15">
      <c r="A2" s="397"/>
      <c r="B2" s="397"/>
    </row>
    <row r="3" spans="1:252" x14ac:dyDescent="0.15">
      <c r="A3" s="397"/>
      <c r="B3" s="397"/>
    </row>
    <row r="4" spans="1:252" ht="15" thickBot="1" x14ac:dyDescent="0.2">
      <c r="A4" s="397"/>
      <c r="B4" s="397"/>
    </row>
    <row r="5" spans="1:252" ht="19.25" customHeight="1" x14ac:dyDescent="0.15">
      <c r="A5" s="468" t="s">
        <v>300</v>
      </c>
      <c r="B5" s="469"/>
      <c r="C5" s="469"/>
      <c r="D5" s="469"/>
      <c r="E5" s="469"/>
      <c r="F5" s="469"/>
      <c r="G5" s="469"/>
      <c r="H5" s="469"/>
      <c r="I5" s="470"/>
      <c r="J5" s="105"/>
      <c r="K5" s="105"/>
      <c r="L5" s="105"/>
      <c r="M5" s="105"/>
      <c r="N5" s="105"/>
      <c r="O5" s="106"/>
      <c r="P5" s="106"/>
    </row>
    <row r="6" spans="1:252" ht="54" customHeight="1" x14ac:dyDescent="0.15">
      <c r="A6" s="471" t="s">
        <v>250</v>
      </c>
      <c r="B6" s="472"/>
      <c r="C6" s="472"/>
      <c r="D6" s="472"/>
      <c r="E6" s="472"/>
      <c r="F6" s="472"/>
      <c r="G6" s="472"/>
      <c r="H6" s="472"/>
      <c r="I6" s="473"/>
      <c r="J6" s="107"/>
      <c r="K6" s="107"/>
      <c r="L6" s="107"/>
      <c r="M6" s="107"/>
      <c r="N6" s="107"/>
      <c r="O6" s="107"/>
      <c r="P6" s="107"/>
    </row>
    <row r="7" spans="1:252" s="27" customFormat="1" x14ac:dyDescent="0.15">
      <c r="A7" s="474" t="s">
        <v>249</v>
      </c>
      <c r="B7" s="475"/>
      <c r="C7" s="475"/>
      <c r="D7" s="475"/>
      <c r="E7" s="475"/>
      <c r="F7" s="475"/>
      <c r="G7" s="475"/>
      <c r="H7" s="475"/>
      <c r="I7" s="476"/>
      <c r="J7" s="50"/>
      <c r="K7" s="50"/>
      <c r="L7" s="50"/>
      <c r="M7" s="50"/>
      <c r="N7" s="50"/>
      <c r="O7" s="50"/>
      <c r="P7" s="50"/>
    </row>
    <row r="8" spans="1:252" ht="56" customHeight="1" x14ac:dyDescent="0.15">
      <c r="A8" s="478" t="s">
        <v>270</v>
      </c>
      <c r="B8" s="389"/>
      <c r="C8" s="198" t="s">
        <v>246</v>
      </c>
      <c r="D8" s="198" t="s">
        <v>247</v>
      </c>
      <c r="E8" s="198" t="s">
        <v>248</v>
      </c>
      <c r="F8" s="198" t="s">
        <v>266</v>
      </c>
      <c r="G8" s="198" t="s">
        <v>267</v>
      </c>
      <c r="H8" s="108" t="s">
        <v>251</v>
      </c>
      <c r="I8" s="109" t="s">
        <v>252</v>
      </c>
      <c r="J8" s="74"/>
    </row>
    <row r="9" spans="1:252" ht="12" customHeight="1" x14ac:dyDescent="0.15">
      <c r="A9" s="477" t="s">
        <v>245</v>
      </c>
      <c r="B9" s="114" t="s">
        <v>166</v>
      </c>
      <c r="C9" s="114">
        <v>61</v>
      </c>
      <c r="D9" s="110">
        <v>2000</v>
      </c>
      <c r="E9" s="110">
        <v>300</v>
      </c>
      <c r="F9" s="111">
        <f>(Sheet2!AB2*1.035*1.08*1.04*1.1*1.55*1.045*1.08*1.025*1.05*1.07)*107%*1.025*1.02*1.2</f>
        <v>2809.4266482698331</v>
      </c>
      <c r="G9" s="111">
        <f>(F9*1.15)*107%*1.025*1.02*1.2</f>
        <v>4337.1515610272381</v>
      </c>
      <c r="H9" s="121">
        <f>Sheet2!H11*1.18*0.79</f>
        <v>770.0420621249998</v>
      </c>
      <c r="I9" s="122">
        <f>H9*3.412</f>
        <v>2627.383515970499</v>
      </c>
      <c r="J9" s="74"/>
      <c r="M9" s="115"/>
      <c r="IQ9" s="116"/>
      <c r="IR9" s="116"/>
    </row>
    <row r="10" spans="1:252" ht="12" customHeight="1" x14ac:dyDescent="0.15">
      <c r="A10" s="477"/>
      <c r="B10" s="114" t="s">
        <v>167</v>
      </c>
      <c r="C10" s="114">
        <v>106</v>
      </c>
      <c r="D10" s="110">
        <v>2000</v>
      </c>
      <c r="E10" s="110">
        <v>300</v>
      </c>
      <c r="F10" s="111">
        <f>(Sheet2!AB3*1.035*1.08*1.04*1.1*1.55*1.045*1.08*1.025*1.05*1.07)*107%*1.025*1.02*1.2</f>
        <v>3745.3344287209998</v>
      </c>
      <c r="G10" s="111">
        <f>(F10*1.15)*107%*1.025*1.02*1.2</f>
        <v>5781.9922346433759</v>
      </c>
      <c r="H10" s="121">
        <f>Sheet2!H12*1.18*0.79</f>
        <v>1430.0781153749997</v>
      </c>
      <c r="I10" s="122">
        <f>H10*3.412</f>
        <v>4879.4265296594986</v>
      </c>
      <c r="K10" s="71"/>
      <c r="L10" s="74"/>
      <c r="M10" s="115"/>
      <c r="IQ10" s="116"/>
      <c r="IR10" s="116"/>
    </row>
    <row r="11" spans="1:252" ht="12" customHeight="1" x14ac:dyDescent="0.15">
      <c r="A11" s="479" t="s">
        <v>244</v>
      </c>
      <c r="B11" s="117" t="s">
        <v>166</v>
      </c>
      <c r="C11" s="117">
        <v>61</v>
      </c>
      <c r="D11" s="112">
        <v>584</v>
      </c>
      <c r="E11" s="112">
        <v>940</v>
      </c>
      <c r="F11" s="113">
        <f>((Sheet2!AB27+272)*1.05*1.07)*107%*1.025*1.02*1.2</f>
        <v>2294.7963235710272</v>
      </c>
      <c r="G11" s="113">
        <f>((F11-261)*1.15+272)*107%*1.025*1.02*1.2</f>
        <v>3504.883651522995</v>
      </c>
      <c r="H11" s="123">
        <f>Sheet2!H35*1.18*0.79</f>
        <v>698.68681312499996</v>
      </c>
      <c r="I11" s="124">
        <f>H11*3.412</f>
        <v>2383.9194063824998</v>
      </c>
      <c r="L11" s="74"/>
      <c r="M11" s="115"/>
      <c r="IQ11" s="116"/>
      <c r="IR11" s="116"/>
    </row>
    <row r="12" spans="1:252" ht="12" customHeight="1" x14ac:dyDescent="0.15">
      <c r="A12" s="479"/>
      <c r="B12" s="117" t="s">
        <v>167</v>
      </c>
      <c r="C12" s="117">
        <v>106</v>
      </c>
      <c r="D12" s="112">
        <v>584</v>
      </c>
      <c r="E12" s="112">
        <v>940</v>
      </c>
      <c r="F12" s="113">
        <f>((Sheet2!AB28+272)*1.05*1.07)*107%*1.025*1.02*1.2</f>
        <v>2817.7423054758192</v>
      </c>
      <c r="G12" s="113">
        <f>((F12-261)*1.15+272)*107%*1.025*1.02*1.2</f>
        <v>4312.199971081679</v>
      </c>
      <c r="H12" s="123">
        <f>Sheet2!H36*1.18*0.79</f>
        <v>1397.3736262499999</v>
      </c>
      <c r="I12" s="124">
        <f>H12*3.412</f>
        <v>4767.8388127649996</v>
      </c>
      <c r="L12" s="74"/>
      <c r="M12" s="115"/>
      <c r="IQ12" s="116"/>
      <c r="IR12" s="116"/>
    </row>
    <row r="13" spans="1:252" ht="12" customHeight="1" x14ac:dyDescent="0.15">
      <c r="A13" s="486" t="s">
        <v>257</v>
      </c>
      <c r="B13" s="487"/>
      <c r="C13" s="487"/>
      <c r="D13" s="487"/>
      <c r="E13" s="487"/>
      <c r="F13" s="487"/>
      <c r="G13" s="487"/>
      <c r="H13" s="487"/>
      <c r="I13" s="488"/>
      <c r="L13" s="74"/>
      <c r="M13" s="115"/>
      <c r="IQ13" s="116"/>
      <c r="IR13" s="116"/>
    </row>
    <row r="14" spans="1:252" ht="12" customHeight="1" x14ac:dyDescent="0.15">
      <c r="A14" s="412" t="s">
        <v>313</v>
      </c>
      <c r="B14" s="480"/>
      <c r="C14" s="480"/>
      <c r="D14" s="480"/>
      <c r="E14" s="480"/>
      <c r="F14" s="480"/>
      <c r="G14" s="480"/>
      <c r="H14" s="480"/>
      <c r="I14" s="481"/>
      <c r="IQ14" s="116"/>
      <c r="IR14" s="116"/>
    </row>
    <row r="15" spans="1:252" ht="31" customHeight="1" x14ac:dyDescent="0.15">
      <c r="A15" s="402" t="s">
        <v>310</v>
      </c>
      <c r="B15" s="484"/>
      <c r="C15" s="484"/>
      <c r="D15" s="484"/>
      <c r="E15" s="484"/>
      <c r="F15" s="484"/>
      <c r="G15" s="484"/>
      <c r="H15" s="484"/>
      <c r="I15" s="485"/>
      <c r="IQ15" s="116"/>
      <c r="IR15" s="116"/>
    </row>
    <row r="16" spans="1:252" ht="12" customHeight="1" x14ac:dyDescent="0.15">
      <c r="A16" s="383" t="s">
        <v>230</v>
      </c>
      <c r="B16" s="482"/>
      <c r="C16" s="482"/>
      <c r="D16" s="482"/>
      <c r="E16" s="482"/>
      <c r="F16" s="482"/>
      <c r="G16" s="482"/>
      <c r="H16" s="482"/>
      <c r="I16" s="483"/>
    </row>
    <row r="17" spans="1:212" ht="12" customHeight="1" x14ac:dyDescent="0.15">
      <c r="A17" s="383" t="s">
        <v>73</v>
      </c>
      <c r="B17" s="482"/>
      <c r="C17" s="482"/>
      <c r="D17" s="482"/>
      <c r="E17" s="482"/>
      <c r="F17" s="482"/>
      <c r="G17" s="482"/>
      <c r="H17" s="482"/>
      <c r="I17" s="483"/>
    </row>
    <row r="18" spans="1:212" ht="12" customHeight="1" x14ac:dyDescent="0.15">
      <c r="A18" s="393" t="s">
        <v>261</v>
      </c>
      <c r="B18" s="394"/>
      <c r="C18" s="394"/>
      <c r="D18" s="394"/>
      <c r="E18" s="394"/>
      <c r="F18" s="394"/>
      <c r="G18" s="394"/>
      <c r="H18" s="394"/>
      <c r="I18" s="489"/>
    </row>
    <row r="19" spans="1:212" ht="12" customHeight="1" x14ac:dyDescent="0.15">
      <c r="A19" s="323" t="s">
        <v>265</v>
      </c>
      <c r="B19" s="324"/>
      <c r="C19" s="324"/>
      <c r="D19" s="324"/>
      <c r="E19" s="324"/>
      <c r="F19" s="324"/>
      <c r="G19" s="324"/>
      <c r="H19" s="324"/>
      <c r="I19" s="325"/>
      <c r="GH19" s="118"/>
      <c r="GI19" s="118"/>
      <c r="GM19" s="74"/>
    </row>
    <row r="20" spans="1:212" ht="12" customHeight="1" x14ac:dyDescent="0.15">
      <c r="A20" s="323" t="s">
        <v>254</v>
      </c>
      <c r="B20" s="324"/>
      <c r="C20" s="324"/>
      <c r="D20" s="324"/>
      <c r="E20" s="324"/>
      <c r="F20" s="324"/>
      <c r="G20" s="324"/>
      <c r="H20" s="324"/>
      <c r="I20" s="325"/>
    </row>
    <row r="21" spans="1:212" ht="12" customHeight="1" thickBot="1" x14ac:dyDescent="0.2">
      <c r="A21" s="326" t="s">
        <v>71</v>
      </c>
      <c r="B21" s="327"/>
      <c r="C21" s="327"/>
      <c r="D21" s="327"/>
      <c r="E21" s="327"/>
      <c r="F21" s="327"/>
      <c r="G21" s="327"/>
      <c r="H21" s="327"/>
      <c r="I21" s="328"/>
      <c r="GG21" s="69"/>
      <c r="HC21" s="69"/>
    </row>
    <row r="22" spans="1:212" ht="12.75" customHeight="1" x14ac:dyDescent="0.15">
      <c r="F22" s="119"/>
      <c r="G22" s="119"/>
      <c r="GL22" s="74"/>
      <c r="GN22" s="74"/>
      <c r="GO22" s="74"/>
    </row>
    <row r="23" spans="1:212" x14ac:dyDescent="0.15">
      <c r="F23" s="119"/>
      <c r="G23" s="119"/>
      <c r="GH23" s="118"/>
      <c r="GI23" s="118"/>
      <c r="GK23" s="74"/>
      <c r="GL23" s="74"/>
      <c r="GM23" s="74"/>
      <c r="GN23" s="74"/>
      <c r="GO23" s="74"/>
      <c r="GQ23" s="74"/>
      <c r="GR23" s="74"/>
      <c r="GS23" s="74"/>
      <c r="GT23" s="73"/>
      <c r="HC23" s="74"/>
      <c r="HD23" s="74"/>
    </row>
    <row r="24" spans="1:212" x14ac:dyDescent="0.15">
      <c r="GH24" s="118"/>
      <c r="GI24" s="118"/>
      <c r="GK24" s="74"/>
      <c r="GL24" s="74"/>
      <c r="GM24" s="74"/>
      <c r="GN24" s="74"/>
      <c r="GO24" s="74"/>
      <c r="GQ24" s="74"/>
      <c r="GR24" s="74"/>
      <c r="GS24" s="74"/>
      <c r="HC24" s="74"/>
      <c r="HD24" s="74"/>
    </row>
    <row r="25" spans="1:212" x14ac:dyDescent="0.15">
      <c r="F25" s="71"/>
      <c r="G25" s="71"/>
      <c r="GH25" s="74"/>
    </row>
    <row r="26" spans="1:212" ht="12.75" customHeight="1" x14ac:dyDescent="0.15">
      <c r="F26" s="71"/>
      <c r="G26" s="71"/>
      <c r="GG26" s="69"/>
      <c r="GH26" s="74"/>
      <c r="GI26" s="74"/>
      <c r="GJ26" s="74"/>
    </row>
    <row r="27" spans="1:212" x14ac:dyDescent="0.15">
      <c r="F27" s="71"/>
      <c r="G27" s="71"/>
      <c r="GH27" s="120"/>
      <c r="GI27" s="120"/>
      <c r="GJ27" s="73"/>
      <c r="GL27" s="74"/>
      <c r="GM27" s="73"/>
      <c r="GN27" s="73"/>
    </row>
    <row r="28" spans="1:212" x14ac:dyDescent="0.15">
      <c r="F28" s="71"/>
      <c r="G28" s="71"/>
      <c r="GH28" s="120"/>
      <c r="GI28" s="120"/>
      <c r="GJ28" s="73"/>
      <c r="GL28" s="74"/>
      <c r="GM28" s="73"/>
      <c r="GN28" s="73"/>
    </row>
    <row r="29" spans="1:212" x14ac:dyDescent="0.15">
      <c r="F29" s="71"/>
      <c r="G29" s="71"/>
      <c r="GH29" s="74"/>
      <c r="GM29" s="74"/>
      <c r="GO29" s="73"/>
      <c r="GR29" s="73"/>
    </row>
    <row r="30" spans="1:212" ht="13.5" customHeight="1" x14ac:dyDescent="0.15">
      <c r="GG30" s="69"/>
      <c r="GN30" s="73"/>
      <c r="GO30" s="73"/>
    </row>
    <row r="31" spans="1:212" x14ac:dyDescent="0.15">
      <c r="GN31" s="73"/>
      <c r="GO31" s="73"/>
    </row>
    <row r="37" spans="189:242" x14ac:dyDescent="0.15">
      <c r="GG37" s="69"/>
    </row>
    <row r="38" spans="189:242" x14ac:dyDescent="0.15">
      <c r="GH38" s="118"/>
      <c r="GI38" s="118"/>
      <c r="IF38" s="68"/>
    </row>
    <row r="39" spans="189:242" x14ac:dyDescent="0.15">
      <c r="GH39" s="118"/>
      <c r="GI39" s="118"/>
      <c r="GM39" s="74"/>
    </row>
    <row r="40" spans="189:242" x14ac:dyDescent="0.15">
      <c r="IH40" s="66"/>
    </row>
    <row r="41" spans="189:242" x14ac:dyDescent="0.15">
      <c r="GG41" s="69"/>
      <c r="HC41" s="69"/>
    </row>
    <row r="42" spans="189:242" x14ac:dyDescent="0.15">
      <c r="GL42" s="74"/>
      <c r="GN42" s="74"/>
      <c r="GO42" s="74"/>
    </row>
    <row r="43" spans="189:242" x14ac:dyDescent="0.15">
      <c r="GH43" s="118"/>
      <c r="GI43" s="118"/>
      <c r="GK43" s="74"/>
      <c r="GL43" s="74"/>
      <c r="GM43" s="74"/>
      <c r="GN43" s="74"/>
      <c r="GO43" s="74"/>
      <c r="GQ43" s="74"/>
      <c r="GR43" s="74"/>
      <c r="GS43" s="74"/>
      <c r="HC43" s="74"/>
      <c r="HD43" s="74"/>
      <c r="HE43" s="74"/>
      <c r="HF43" s="74"/>
      <c r="HG43" s="74"/>
      <c r="HH43" s="74"/>
    </row>
    <row r="44" spans="189:242" x14ac:dyDescent="0.15">
      <c r="GH44" s="118"/>
      <c r="GI44" s="118"/>
      <c r="GK44" s="74"/>
      <c r="GL44" s="74"/>
      <c r="GM44" s="74"/>
      <c r="GN44" s="74"/>
      <c r="GO44" s="74"/>
      <c r="GQ44" s="74"/>
      <c r="GR44" s="74"/>
      <c r="GS44" s="74"/>
      <c r="HC44" s="74"/>
      <c r="HD44" s="74"/>
      <c r="HE44" s="74"/>
      <c r="HF44" s="74"/>
      <c r="HG44" s="74"/>
      <c r="HH44" s="74"/>
    </row>
    <row r="45" spans="189:242" x14ac:dyDescent="0.15">
      <c r="GH45" s="118"/>
      <c r="GI45" s="118"/>
      <c r="GK45" s="74"/>
      <c r="GL45" s="74"/>
      <c r="GM45" s="74"/>
      <c r="GN45" s="74"/>
      <c r="GO45" s="74"/>
      <c r="GQ45" s="74"/>
      <c r="GR45" s="74"/>
      <c r="GS45" s="74"/>
      <c r="HC45" s="74"/>
      <c r="HD45" s="74"/>
      <c r="HE45" s="74"/>
      <c r="HF45" s="74"/>
      <c r="HG45" s="74"/>
      <c r="HH45" s="74"/>
    </row>
    <row r="46" spans="189:242" x14ac:dyDescent="0.15">
      <c r="GG46" s="69"/>
      <c r="IG46" s="68"/>
    </row>
    <row r="47" spans="189:242" x14ac:dyDescent="0.15">
      <c r="GH47" s="118"/>
      <c r="GI47" s="118"/>
      <c r="IE47" s="68"/>
      <c r="IG47" s="68"/>
    </row>
    <row r="48" spans="189:242" x14ac:dyDescent="0.15">
      <c r="GH48" s="118"/>
      <c r="GI48" s="118"/>
      <c r="IG48" s="68"/>
    </row>
    <row r="49" spans="189:216" x14ac:dyDescent="0.15">
      <c r="GH49" s="118"/>
      <c r="GI49" s="118"/>
      <c r="GK49" s="74"/>
      <c r="GL49" s="74"/>
      <c r="GM49" s="74"/>
      <c r="GN49" s="74"/>
      <c r="GO49" s="74"/>
      <c r="GQ49" s="74"/>
      <c r="GR49" s="74"/>
      <c r="GS49" s="74"/>
      <c r="HC49" s="74"/>
      <c r="HD49" s="74"/>
      <c r="HE49" s="74"/>
      <c r="HF49" s="74"/>
      <c r="HG49" s="74"/>
      <c r="HH49" s="74"/>
    </row>
    <row r="50" spans="189:216" x14ac:dyDescent="0.15">
      <c r="GG50" s="69"/>
      <c r="GH50" s="74"/>
      <c r="GI50" s="74"/>
      <c r="GJ50" s="74"/>
    </row>
    <row r="51" spans="189:216" x14ac:dyDescent="0.15">
      <c r="GH51" s="120"/>
      <c r="GI51" s="120"/>
      <c r="GJ51" s="73"/>
      <c r="GL51" s="74"/>
      <c r="GM51" s="73"/>
      <c r="GN51" s="73"/>
    </row>
    <row r="52" spans="189:216" x14ac:dyDescent="0.15">
      <c r="GH52" s="120"/>
      <c r="GI52" s="120"/>
      <c r="GJ52" s="73"/>
      <c r="GL52" s="74"/>
      <c r="GM52" s="73"/>
      <c r="GN52" s="73"/>
    </row>
    <row r="53" spans="189:216" x14ac:dyDescent="0.15">
      <c r="GH53" s="74"/>
      <c r="GM53" s="74"/>
      <c r="GO53" s="73"/>
      <c r="GR53" s="73"/>
    </row>
    <row r="54" spans="189:216" x14ac:dyDescent="0.15">
      <c r="GG54" s="69"/>
      <c r="GN54" s="73"/>
      <c r="GO54" s="73"/>
    </row>
    <row r="55" spans="189:216" x14ac:dyDescent="0.15">
      <c r="GN55" s="73"/>
      <c r="GO55" s="73"/>
    </row>
    <row r="130" spans="2:14" ht="15" x14ac:dyDescent="0.15">
      <c r="B130" s="66" t="s">
        <v>223</v>
      </c>
      <c r="M130" s="73"/>
    </row>
    <row r="131" spans="2:14" ht="15" x14ac:dyDescent="0.15">
      <c r="B131" s="66" t="s">
        <v>224</v>
      </c>
      <c r="L131" s="74"/>
      <c r="M131" s="73"/>
      <c r="N131" s="73"/>
    </row>
    <row r="132" spans="2:14" ht="15" x14ac:dyDescent="0.15">
      <c r="B132" s="66" t="s">
        <v>225</v>
      </c>
      <c r="L132" s="74"/>
      <c r="M132" s="73"/>
      <c r="N132" s="73"/>
    </row>
    <row r="133" spans="2:14" ht="15" x14ac:dyDescent="0.15">
      <c r="B133" s="66" t="s">
        <v>226</v>
      </c>
      <c r="L133" s="74"/>
      <c r="M133" s="73"/>
      <c r="N133" s="73"/>
    </row>
    <row r="134" spans="2:14" ht="30" x14ac:dyDescent="0.15">
      <c r="B134" s="66" t="s">
        <v>227</v>
      </c>
      <c r="L134" s="74"/>
      <c r="M134" s="73"/>
      <c r="N134" s="73"/>
    </row>
    <row r="135" spans="2:14" x14ac:dyDescent="0.15">
      <c r="L135" s="74"/>
      <c r="M135" s="73"/>
      <c r="N135" s="73"/>
    </row>
    <row r="136" spans="2:14" x14ac:dyDescent="0.15">
      <c r="L136" s="74"/>
      <c r="M136" s="73"/>
      <c r="N136" s="73"/>
    </row>
    <row r="137" spans="2:14" ht="15" x14ac:dyDescent="0.15">
      <c r="B137" s="66" t="s">
        <v>228</v>
      </c>
      <c r="L137" s="74"/>
      <c r="M137" s="73"/>
      <c r="N137" s="73"/>
    </row>
    <row r="138" spans="2:14" ht="15" x14ac:dyDescent="0.15">
      <c r="B138" s="66" t="s">
        <v>224</v>
      </c>
      <c r="L138" s="74"/>
      <c r="M138" s="73"/>
      <c r="N138" s="73"/>
    </row>
    <row r="139" spans="2:14" ht="15" x14ac:dyDescent="0.15">
      <c r="B139" s="66" t="s">
        <v>225</v>
      </c>
      <c r="L139" s="74"/>
      <c r="M139" s="73"/>
      <c r="N139" s="73"/>
    </row>
    <row r="140" spans="2:14" ht="15" x14ac:dyDescent="0.15">
      <c r="B140" s="66" t="s">
        <v>226</v>
      </c>
      <c r="L140" s="74"/>
      <c r="M140" s="73"/>
      <c r="N140" s="73"/>
    </row>
    <row r="141" spans="2:14" ht="30" x14ac:dyDescent="0.15">
      <c r="B141" s="66" t="s">
        <v>227</v>
      </c>
      <c r="L141" s="74"/>
      <c r="M141" s="73"/>
      <c r="N141" s="73"/>
    </row>
    <row r="144" spans="2:14" x14ac:dyDescent="0.15">
      <c r="K144" s="73"/>
    </row>
    <row r="145" spans="10:11" x14ac:dyDescent="0.15">
      <c r="J145" s="74"/>
      <c r="K145" s="73"/>
    </row>
    <row r="146" spans="10:11" x14ac:dyDescent="0.15">
      <c r="J146" s="74"/>
      <c r="K146" s="73"/>
    </row>
    <row r="147" spans="10:11" x14ac:dyDescent="0.15">
      <c r="J147" s="74"/>
      <c r="K147" s="73"/>
    </row>
    <row r="148" spans="10:11" x14ac:dyDescent="0.15">
      <c r="J148" s="74"/>
      <c r="K148" s="73"/>
    </row>
    <row r="149" spans="10:11" x14ac:dyDescent="0.15">
      <c r="J149" s="74"/>
      <c r="K149" s="73"/>
    </row>
    <row r="150" spans="10:11" x14ac:dyDescent="0.15">
      <c r="J150" s="74"/>
      <c r="K150" s="73"/>
    </row>
    <row r="151" spans="10:11" x14ac:dyDescent="0.15">
      <c r="J151" s="74"/>
      <c r="K151" s="73"/>
    </row>
    <row r="152" spans="10:11" x14ac:dyDescent="0.15">
      <c r="J152" s="74"/>
      <c r="K152" s="73"/>
    </row>
  </sheetData>
  <sheetProtection selectLockedCells="1"/>
  <mergeCells count="16">
    <mergeCell ref="A11:A12"/>
    <mergeCell ref="A14:I14"/>
    <mergeCell ref="A20:I20"/>
    <mergeCell ref="A21:I21"/>
    <mergeCell ref="A16:I16"/>
    <mergeCell ref="A17:I17"/>
    <mergeCell ref="A15:I15"/>
    <mergeCell ref="A19:I19"/>
    <mergeCell ref="A13:I13"/>
    <mergeCell ref="A18:I18"/>
    <mergeCell ref="A1:B4"/>
    <mergeCell ref="A5:I5"/>
    <mergeCell ref="A6:I6"/>
    <mergeCell ref="A7:I7"/>
    <mergeCell ref="A9:A10"/>
    <mergeCell ref="A8:B8"/>
  </mergeCells>
  <conditionalFormatting sqref="GS48 GS19 GT39">
    <cfRule type="cellIs" dxfId="3" priority="1" stopIfTrue="1" operator="lessThan">
      <formula>$GK$19</formula>
    </cfRule>
  </conditionalFormatting>
  <conditionalFormatting sqref="GS47 GT38">
    <cfRule type="cellIs" dxfId="2" priority="2" stopIfTrue="1" operator="lessThan">
      <formula>#REF!</formula>
    </cfRule>
  </conditionalFormatting>
  <dataValidations count="6">
    <dataValidation type="whole" allowBlank="1" showInputMessage="1" showErrorMessage="1" errorTitle="Outside standard size range" error="Our standard minimum height is 240mm_x000a_Our standard maximum height is 2300mm_x000a_Outside these sizes, please contact Eskimo" promptTitle="Enter height" prompt="Enter vertical height in millimetres" sqref="E9:E10" xr:uid="{00000000-0002-0000-0500-000000000000}">
      <formula1>240</formula1>
      <formula2>2300</formula2>
    </dataValidation>
    <dataValidation type="whole" allowBlank="1" showInputMessage="1" showErrorMessage="1" errorTitle="Outside standard size range" error="The minimum length for hinge &amp; bracket is 430mm_x000a_Our standard maximum height is 2300mm_x000a_Outside these sizes, please contact Eskimo" promptTitle="Enter height" prompt="Enter vertical height in millimetres" sqref="E12" xr:uid="{00000000-0002-0000-0500-000001000000}">
      <formula1>430</formula1>
      <formula2>2300</formula2>
    </dataValidation>
    <dataValidation type="whole" allowBlank="1" showInputMessage="1" showErrorMessage="1" errorTitle="Outside standard size range" error="The minimum height for hinge &amp; bracket is 430mm_x000a_Our standard maximum height is 2300mm_x000a_Outside these sizes, please contact Eskimo" promptTitle="Enter height" prompt="Enter vertical height in millimetres" sqref="E11" xr:uid="{00000000-0002-0000-0500-000002000000}">
      <formula1>430</formula1>
      <formula2>2300</formula2>
    </dataValidation>
    <dataValidation type="whole" allowBlank="1" showInputMessage="1" showErrorMessage="1" errorTitle="Outside standard size range" error="The minimum length for hinge &amp; bracket is 430mm_x000a_Our standard maximum length is 2300mm_x000a_Outside these sizes, please contact Eskimo" promptTitle="Enter length" prompt="Enter horizontal length in millimetres" sqref="D11:D12" xr:uid="{00000000-0002-0000-0500-000003000000}">
      <formula1>430</formula1>
      <formula2>2300</formula2>
    </dataValidation>
    <dataValidation type="whole" allowBlank="1" showInputMessage="1" showErrorMessage="1" errorTitle="Outside standard size range" error="Our standard minimum length is 240mm_x000a_Our standard maximum length is 2300mm_x000a_Outside these sizes, please contact Eskimo" promptTitle="Enter length" prompt="Enter horizontal length in millimetres" sqref="D9:D10" xr:uid="{00000000-0002-0000-0500-000004000000}">
      <formula1>240</formula1>
      <formula2>2300</formula2>
    </dataValidation>
    <dataValidation allowBlank="1" showInputMessage="1" showErrorMessage="1" promptTitle="Don't touch these boxes!" prompt="You only need to enter length and height in the dark shaded boxes" sqref="HE49:HH49 HE43:HH45 B9:C12 J5:N5 A5:A13 F9:I12 A19:I21 C8:I8 A15:I17 A18" xr:uid="{00000000-0002-0000-0500-000005000000}"/>
  </dataValidations>
  <pageMargins left="0.75" right="0.75" top="1" bottom="1" header="0.5" footer="0.5"/>
  <pageSetup paperSize="9"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35FB6-93C6-4E45-A43D-E93783B608C7}">
  <sheetPr codeName="Sheet8"/>
  <dimension ref="A1:AB42"/>
  <sheetViews>
    <sheetView topLeftCell="A25" workbookViewId="0">
      <selection activeCell="N35" sqref="N35"/>
    </sheetView>
  </sheetViews>
  <sheetFormatPr baseColWidth="10" defaultColWidth="9" defaultRowHeight="13" x14ac:dyDescent="0.15"/>
  <sheetData>
    <row r="1" spans="1:28" ht="120" x14ac:dyDescent="0.15">
      <c r="A1" s="22" t="s">
        <v>168</v>
      </c>
      <c r="B1" s="23" t="s">
        <v>169</v>
      </c>
      <c r="C1" s="23" t="s">
        <v>170</v>
      </c>
      <c r="D1" s="23" t="s">
        <v>162</v>
      </c>
      <c r="E1" s="23" t="s">
        <v>171</v>
      </c>
      <c r="F1" s="23" t="s">
        <v>172</v>
      </c>
      <c r="G1" s="23" t="s">
        <v>173</v>
      </c>
      <c r="H1" s="23" t="s">
        <v>174</v>
      </c>
      <c r="I1" s="23" t="s">
        <v>175</v>
      </c>
      <c r="J1" s="23" t="s">
        <v>176</v>
      </c>
      <c r="K1" s="23" t="s">
        <v>177</v>
      </c>
      <c r="L1" s="23" t="s">
        <v>178</v>
      </c>
      <c r="M1" s="23" t="s">
        <v>179</v>
      </c>
      <c r="N1" s="23" t="s">
        <v>180</v>
      </c>
      <c r="O1" s="23" t="s">
        <v>181</v>
      </c>
      <c r="P1" s="23" t="s">
        <v>182</v>
      </c>
      <c r="Q1" s="23" t="s">
        <v>183</v>
      </c>
      <c r="R1" s="23" t="s">
        <v>184</v>
      </c>
      <c r="S1" s="23" t="s">
        <v>185</v>
      </c>
      <c r="T1" s="23" t="s">
        <v>186</v>
      </c>
      <c r="U1" s="23" t="s">
        <v>187</v>
      </c>
      <c r="V1" s="23" t="s">
        <v>188</v>
      </c>
      <c r="W1" s="23" t="s">
        <v>189</v>
      </c>
      <c r="X1" s="23" t="s">
        <v>190</v>
      </c>
      <c r="Y1" s="23" t="s">
        <v>180</v>
      </c>
      <c r="Z1" s="16" t="s">
        <v>191</v>
      </c>
      <c r="AA1" s="16" t="s">
        <v>165</v>
      </c>
      <c r="AB1" s="16"/>
    </row>
    <row r="2" spans="1:28" ht="15" x14ac:dyDescent="0.15">
      <c r="A2" s="23" t="s">
        <v>166</v>
      </c>
      <c r="B2" s="18">
        <f>'OUTLINE VENEER RANGE SIZE CALC'!D9</f>
        <v>2000</v>
      </c>
      <c r="C2" s="18">
        <f>'OUTLINE VENEER RANGE SIZE CALC'!E9</f>
        <v>300</v>
      </c>
      <c r="D2" s="23">
        <v>50</v>
      </c>
      <c r="E2" s="23">
        <f>ROUNDDOWN(I2/93,0)</f>
        <v>21</v>
      </c>
      <c r="F2" s="23">
        <f>C2-115</f>
        <v>185</v>
      </c>
      <c r="G2" s="23">
        <f>M2*F2/1000</f>
        <v>3.8849999999999998</v>
      </c>
      <c r="H2" s="23">
        <f>B2-54</f>
        <v>1946</v>
      </c>
      <c r="I2" s="23">
        <f>B2-3</f>
        <v>1997</v>
      </c>
      <c r="J2" s="23">
        <f>E2*93-1</f>
        <v>1952</v>
      </c>
      <c r="K2" s="23">
        <f>(I2-J2)/2</f>
        <v>22.5</v>
      </c>
      <c r="L2" s="23">
        <v>18</v>
      </c>
      <c r="M2" s="23">
        <f>IF(K2&lt;L2,(E2-1),IF(K2&gt;=L2,E2))</f>
        <v>21</v>
      </c>
      <c r="N2" s="23">
        <f>IF(Y2&lt;Z2,(Z2),IF(Y2&gt;=Z2,(Y2)))</f>
        <v>4</v>
      </c>
      <c r="O2" s="23">
        <f>F2+107</f>
        <v>292</v>
      </c>
      <c r="P2" s="23">
        <f>N2*O2/1000</f>
        <v>1.1679999999999999</v>
      </c>
      <c r="Q2" s="23">
        <f>M2*2</f>
        <v>42</v>
      </c>
      <c r="R2" s="23">
        <f>N2*2</f>
        <v>8</v>
      </c>
      <c r="S2" s="23">
        <f>R2</f>
        <v>8</v>
      </c>
      <c r="T2" s="23">
        <v>4</v>
      </c>
      <c r="U2" s="23">
        <f>Q2</f>
        <v>42</v>
      </c>
      <c r="V2" s="23">
        <f>U2</f>
        <v>42</v>
      </c>
      <c r="W2" s="23">
        <v>2</v>
      </c>
      <c r="X2" s="23">
        <f>S2</f>
        <v>8</v>
      </c>
      <c r="Y2" s="23">
        <f>ROUNDUP(H2/500,0)</f>
        <v>4</v>
      </c>
      <c r="Z2" s="16">
        <v>2</v>
      </c>
      <c r="AA2" s="17">
        <f>W7</f>
        <v>219.56752000000003</v>
      </c>
      <c r="AB2" s="17">
        <f>AA2*3.7</f>
        <v>812.39982400000019</v>
      </c>
    </row>
    <row r="3" spans="1:28" ht="15" x14ac:dyDescent="0.15">
      <c r="A3" s="23" t="s">
        <v>167</v>
      </c>
      <c r="B3" s="18">
        <f>'OUTLINE VENEER RANGE SIZE CALC'!D10</f>
        <v>2000</v>
      </c>
      <c r="C3" s="18">
        <f>'OUTLINE VENEER RANGE SIZE CALC'!E10</f>
        <v>300</v>
      </c>
      <c r="D3" s="23">
        <v>95</v>
      </c>
      <c r="E3" s="23">
        <f>ROUNDDOWN(I3/49,0)</f>
        <v>40</v>
      </c>
      <c r="F3" s="23">
        <f>C3-115</f>
        <v>185</v>
      </c>
      <c r="G3" s="19">
        <f>M3*F3/1000</f>
        <v>7.2149999999999999</v>
      </c>
      <c r="H3" s="23">
        <f>B3-54</f>
        <v>1946</v>
      </c>
      <c r="I3" s="23">
        <f>B3-3</f>
        <v>1997</v>
      </c>
      <c r="J3" s="23">
        <f>E3*49-1</f>
        <v>1959</v>
      </c>
      <c r="K3" s="23">
        <f>(I3-J3)/2</f>
        <v>19</v>
      </c>
      <c r="L3" s="23">
        <v>20</v>
      </c>
      <c r="M3" s="23">
        <f>IF(K3&lt;L3,(E3-1),IF(K3&gt;=L3,E3))</f>
        <v>39</v>
      </c>
      <c r="N3" s="23">
        <f>IF(Y3&lt;Z3,(Z3),IF(Y3&gt;=Z3,(Y3)))</f>
        <v>4</v>
      </c>
      <c r="O3" s="23">
        <f>F3+107</f>
        <v>292</v>
      </c>
      <c r="P3" s="23">
        <f>N3*O3/1000</f>
        <v>1.1679999999999999</v>
      </c>
      <c r="Q3" s="23">
        <f>M3*2</f>
        <v>78</v>
      </c>
      <c r="R3" s="23">
        <f>N3*2</f>
        <v>8</v>
      </c>
      <c r="S3" s="23">
        <f>R3</f>
        <v>8</v>
      </c>
      <c r="T3" s="23">
        <v>4</v>
      </c>
      <c r="U3" s="23">
        <f>Q3</f>
        <v>78</v>
      </c>
      <c r="V3" s="23">
        <f>U3</f>
        <v>78</v>
      </c>
      <c r="W3" s="23">
        <v>2</v>
      </c>
      <c r="X3" s="23">
        <f>S3</f>
        <v>8</v>
      </c>
      <c r="Y3" s="23">
        <f>ROUNDUP(H3/500,0)</f>
        <v>4</v>
      </c>
      <c r="Z3" s="16">
        <v>2</v>
      </c>
      <c r="AA3" s="17">
        <f>W8</f>
        <v>292.71231999999998</v>
      </c>
      <c r="AB3" s="17">
        <f>AA3*3.7</f>
        <v>1083.035584</v>
      </c>
    </row>
    <row r="4" spans="1:28" ht="14" x14ac:dyDescent="0.15">
      <c r="A4" s="23"/>
      <c r="B4" s="23"/>
      <c r="C4" s="23"/>
      <c r="D4" s="23"/>
      <c r="E4" s="23"/>
      <c r="F4" s="23"/>
      <c r="G4" s="23"/>
      <c r="H4" s="23"/>
      <c r="I4" s="23"/>
      <c r="J4" s="23"/>
      <c r="K4" s="23"/>
      <c r="L4" s="23"/>
      <c r="M4" s="23"/>
      <c r="N4" s="23"/>
      <c r="O4" s="23"/>
      <c r="P4" s="23"/>
      <c r="Q4" s="23"/>
      <c r="R4" s="23"/>
      <c r="S4" s="23"/>
      <c r="T4" s="23"/>
      <c r="U4" s="23"/>
      <c r="V4" s="23"/>
      <c r="W4" s="23"/>
      <c r="X4" s="23"/>
      <c r="Y4" s="23"/>
      <c r="Z4" s="16"/>
      <c r="AA4" s="16"/>
      <c r="AB4" s="16"/>
    </row>
    <row r="5" spans="1:28" ht="105" x14ac:dyDescent="0.15">
      <c r="A5" s="22" t="s">
        <v>192</v>
      </c>
      <c r="B5" s="23" t="str">
        <f>B1</f>
        <v>length (x)</v>
      </c>
      <c r="C5" s="23" t="str">
        <f>C1</f>
        <v>height (y)</v>
      </c>
      <c r="D5" s="23" t="str">
        <f>D1</f>
        <v>depth (z)</v>
      </c>
      <c r="E5" s="23" t="s">
        <v>193</v>
      </c>
      <c r="F5" s="23" t="s">
        <v>194</v>
      </c>
      <c r="G5" s="23" t="s">
        <v>195</v>
      </c>
      <c r="H5" s="23" t="s">
        <v>196</v>
      </c>
      <c r="I5" s="23" t="s">
        <v>197</v>
      </c>
      <c r="J5" s="23" t="s">
        <v>198</v>
      </c>
      <c r="K5" s="23" t="s">
        <v>199</v>
      </c>
      <c r="L5" s="23" t="s">
        <v>200</v>
      </c>
      <c r="M5" s="23" t="s">
        <v>201</v>
      </c>
      <c r="N5" s="23" t="s">
        <v>202</v>
      </c>
      <c r="O5" s="23" t="s">
        <v>203</v>
      </c>
      <c r="P5" s="23" t="s">
        <v>204</v>
      </c>
      <c r="Q5" s="23" t="s">
        <v>205</v>
      </c>
      <c r="R5" s="23" t="s">
        <v>206</v>
      </c>
      <c r="S5" s="23" t="s">
        <v>207</v>
      </c>
      <c r="T5" s="23" t="s">
        <v>208</v>
      </c>
      <c r="U5" s="23" t="s">
        <v>209</v>
      </c>
      <c r="V5" s="23" t="s">
        <v>210</v>
      </c>
      <c r="W5" s="22" t="s">
        <v>211</v>
      </c>
      <c r="X5" s="23"/>
      <c r="Y5" s="23"/>
      <c r="Z5" s="16"/>
      <c r="AA5" s="16"/>
      <c r="AB5" s="16"/>
    </row>
    <row r="6" spans="1:28" ht="30" x14ac:dyDescent="0.15">
      <c r="A6" s="23" t="s">
        <v>212</v>
      </c>
      <c r="B6" s="23"/>
      <c r="C6" s="23"/>
      <c r="D6" s="23"/>
      <c r="E6" s="23">
        <v>4.5599999999999996</v>
      </c>
      <c r="F6" s="19">
        <v>2.86</v>
      </c>
      <c r="G6" s="23">
        <v>0.3</v>
      </c>
      <c r="H6" s="19">
        <f>0.35</f>
        <v>0.35</v>
      </c>
      <c r="I6" s="19">
        <v>0.5</v>
      </c>
      <c r="J6" s="23">
        <v>1.5</v>
      </c>
      <c r="K6" s="23">
        <v>0.25</v>
      </c>
      <c r="L6" s="23">
        <f>0.7+0.0735</f>
        <v>0.77349999999999997</v>
      </c>
      <c r="M6" s="23">
        <f>0.065+0.7</f>
        <v>0.7649999999999999</v>
      </c>
      <c r="N6" s="23">
        <v>100</v>
      </c>
      <c r="O6" s="23">
        <v>1</v>
      </c>
      <c r="P6" s="23">
        <v>0.06</v>
      </c>
      <c r="Q6" s="23">
        <v>20</v>
      </c>
      <c r="R6" s="23">
        <v>15</v>
      </c>
      <c r="S6" s="23">
        <v>6</v>
      </c>
      <c r="T6" s="23">
        <v>0.65200000000000002</v>
      </c>
      <c r="U6" s="23">
        <f>45/100</f>
        <v>0.45</v>
      </c>
      <c r="V6" s="23">
        <v>0.03</v>
      </c>
      <c r="W6" s="23"/>
      <c r="X6" s="23"/>
      <c r="Y6" s="23"/>
      <c r="Z6" s="16"/>
      <c r="AA6" s="16"/>
      <c r="AB6" s="16"/>
    </row>
    <row r="7" spans="1:28" ht="15" x14ac:dyDescent="0.15">
      <c r="A7" s="23" t="s">
        <v>166</v>
      </c>
      <c r="B7" s="18">
        <f t="shared" ref="B7:D8" si="0">B2</f>
        <v>2000</v>
      </c>
      <c r="C7" s="18">
        <f t="shared" si="0"/>
        <v>300</v>
      </c>
      <c r="D7" s="23">
        <f t="shared" si="0"/>
        <v>50</v>
      </c>
      <c r="E7" s="19">
        <f>E$6*G2</f>
        <v>17.715599999999998</v>
      </c>
      <c r="F7" s="19">
        <f>(H2/1000)*F$6*2</f>
        <v>11.131119999999999</v>
      </c>
      <c r="G7" s="19">
        <f>M2*2*G$6</f>
        <v>12.6</v>
      </c>
      <c r="H7" s="19">
        <f>H$6*P2</f>
        <v>0.40879999999999994</v>
      </c>
      <c r="I7" s="19">
        <f>N2*I$6*2</f>
        <v>4</v>
      </c>
      <c r="J7" s="23">
        <f>J$6*T2</f>
        <v>6</v>
      </c>
      <c r="K7" s="19">
        <f>K$6*Q2</f>
        <v>10.5</v>
      </c>
      <c r="L7" s="19">
        <f>L$6*R2</f>
        <v>6.1879999999999997</v>
      </c>
      <c r="M7" s="19">
        <f>M$6*T2</f>
        <v>3.0599999999999996</v>
      </c>
      <c r="N7" s="20">
        <f>(B7*C7)/(1000*1000)*N$6</f>
        <v>60</v>
      </c>
      <c r="O7" s="23">
        <f>O$6*U2</f>
        <v>42</v>
      </c>
      <c r="P7" s="23">
        <f>P$6*V2</f>
        <v>2.52</v>
      </c>
      <c r="Q7" s="23">
        <f>Q$6</f>
        <v>20</v>
      </c>
      <c r="R7" s="23">
        <f>R$6</f>
        <v>15</v>
      </c>
      <c r="S7" s="23">
        <v>6</v>
      </c>
      <c r="T7" s="23">
        <f>T$6*W2</f>
        <v>1.304</v>
      </c>
      <c r="U7" s="23">
        <f>U$6*W2</f>
        <v>0.9</v>
      </c>
      <c r="V7" s="23">
        <f>X2*V$6</f>
        <v>0.24</v>
      </c>
      <c r="W7" s="19">
        <f>SUM(E7:V7)</f>
        <v>219.56752000000003</v>
      </c>
      <c r="X7" s="19"/>
      <c r="Y7" s="23"/>
      <c r="Z7" s="16"/>
      <c r="AA7" s="16"/>
      <c r="AB7" s="16"/>
    </row>
    <row r="8" spans="1:28" ht="15" x14ac:dyDescent="0.15">
      <c r="A8" s="23" t="s">
        <v>167</v>
      </c>
      <c r="B8" s="18">
        <f t="shared" si="0"/>
        <v>2000</v>
      </c>
      <c r="C8" s="18">
        <f t="shared" si="0"/>
        <v>300</v>
      </c>
      <c r="D8" s="23">
        <f t="shared" si="0"/>
        <v>95</v>
      </c>
      <c r="E8" s="19">
        <f>E$6*G3</f>
        <v>32.900399999999998</v>
      </c>
      <c r="F8" s="19">
        <f>(H3/1000)*F$6*2</f>
        <v>11.131119999999999</v>
      </c>
      <c r="G8" s="19">
        <f>M3*2*G$6</f>
        <v>23.4</v>
      </c>
      <c r="H8" s="19">
        <f>H$6*P3</f>
        <v>0.40879999999999994</v>
      </c>
      <c r="I8" s="19">
        <f>N3*I$6*2</f>
        <v>4</v>
      </c>
      <c r="J8" s="23">
        <f>J$6*T3</f>
        <v>6</v>
      </c>
      <c r="K8" s="19">
        <f>K$6*Q3</f>
        <v>19.5</v>
      </c>
      <c r="L8" s="19">
        <f>L$6*R3</f>
        <v>6.1879999999999997</v>
      </c>
      <c r="M8" s="19">
        <f>M$6*T3</f>
        <v>3.0599999999999996</v>
      </c>
      <c r="N8" s="23">
        <f>(B8*C8)/(1000*1000)*N$6</f>
        <v>60</v>
      </c>
      <c r="O8" s="23">
        <f>O$6*U3</f>
        <v>78</v>
      </c>
      <c r="P8" s="23">
        <f>P$6*V3</f>
        <v>4.68</v>
      </c>
      <c r="Q8" s="23">
        <f>Q$6</f>
        <v>20</v>
      </c>
      <c r="R8" s="23">
        <f>R$6</f>
        <v>15</v>
      </c>
      <c r="S8" s="23">
        <v>6</v>
      </c>
      <c r="T8" s="23">
        <f>T$6*W3</f>
        <v>1.304</v>
      </c>
      <c r="U8" s="23">
        <f>U$6*W3</f>
        <v>0.9</v>
      </c>
      <c r="V8" s="23">
        <f>X3*V$6</f>
        <v>0.24</v>
      </c>
      <c r="W8" s="19">
        <f>SUM(E8:V8)</f>
        <v>292.71231999999998</v>
      </c>
      <c r="X8" s="19"/>
      <c r="Y8" s="23"/>
      <c r="Z8" s="16"/>
      <c r="AA8" s="16"/>
      <c r="AB8" s="16"/>
    </row>
    <row r="9" spans="1:28" ht="14" x14ac:dyDescent="0.15">
      <c r="A9" s="23"/>
      <c r="B9" s="19"/>
      <c r="C9" s="23"/>
      <c r="D9" s="23"/>
      <c r="E9" s="23"/>
      <c r="F9" s="23"/>
      <c r="G9" s="23"/>
      <c r="H9" s="23"/>
      <c r="I9" s="23"/>
      <c r="J9" s="23"/>
      <c r="K9" s="23"/>
      <c r="L9" s="23"/>
      <c r="M9" s="23"/>
      <c r="N9" s="23"/>
      <c r="O9" s="23"/>
      <c r="P9" s="23"/>
      <c r="Q9" s="23"/>
      <c r="R9" s="23"/>
      <c r="S9" s="23"/>
      <c r="T9" s="23"/>
      <c r="U9" s="23"/>
      <c r="V9" s="23"/>
      <c r="W9" s="23"/>
      <c r="X9" s="23"/>
      <c r="Y9" s="23"/>
      <c r="Z9" s="16"/>
      <c r="AA9" s="16"/>
      <c r="AB9" s="16"/>
    </row>
    <row r="10" spans="1:28" ht="90" x14ac:dyDescent="0.15">
      <c r="A10" s="22" t="s">
        <v>213</v>
      </c>
      <c r="B10" s="19" t="str">
        <f t="shared" ref="B10:D12" si="1">B1</f>
        <v>length (x)</v>
      </c>
      <c r="C10" s="19" t="str">
        <f t="shared" si="1"/>
        <v>height (y)</v>
      </c>
      <c r="D10" s="19" t="str">
        <f t="shared" si="1"/>
        <v>depth (z)</v>
      </c>
      <c r="E10" s="23" t="s">
        <v>214</v>
      </c>
      <c r="F10" s="23" t="s">
        <v>215</v>
      </c>
      <c r="G10" s="23" t="s">
        <v>216</v>
      </c>
      <c r="H10" s="23" t="s">
        <v>217</v>
      </c>
      <c r="I10" s="23"/>
      <c r="J10" s="23"/>
      <c r="K10" s="23"/>
      <c r="L10" s="23"/>
      <c r="M10" s="23"/>
      <c r="N10" s="23"/>
      <c r="O10" s="23"/>
      <c r="P10" s="23"/>
      <c r="Q10" s="23"/>
      <c r="R10" s="23"/>
      <c r="S10" s="23"/>
      <c r="T10" s="23"/>
      <c r="U10" s="23"/>
      <c r="V10" s="23"/>
      <c r="W10" s="23"/>
      <c r="X10" s="23"/>
      <c r="Y10" s="23"/>
      <c r="Z10" s="16"/>
      <c r="AA10" s="16"/>
      <c r="AB10" s="16"/>
    </row>
    <row r="11" spans="1:28" ht="14" x14ac:dyDescent="0.15">
      <c r="A11" s="23"/>
      <c r="B11" s="21">
        <f t="shared" si="1"/>
        <v>2000</v>
      </c>
      <c r="C11" s="21">
        <f t="shared" si="1"/>
        <v>300</v>
      </c>
      <c r="D11" s="20">
        <f t="shared" si="1"/>
        <v>50</v>
      </c>
      <c r="E11" s="23">
        <v>0.56699999999999995</v>
      </c>
      <c r="F11" s="19">
        <f>E11*G2</f>
        <v>2.2027949999999996</v>
      </c>
      <c r="G11" s="20">
        <v>375</v>
      </c>
      <c r="H11" s="20">
        <f>G11*F11</f>
        <v>826.0481249999998</v>
      </c>
      <c r="I11" s="23"/>
      <c r="J11" s="23"/>
      <c r="K11" s="23"/>
      <c r="L11" s="23"/>
      <c r="M11" s="23"/>
      <c r="N11" s="23"/>
      <c r="O11" s="23"/>
      <c r="P11" s="23"/>
      <c r="Q11" s="23"/>
      <c r="R11" s="23"/>
      <c r="S11" s="23"/>
      <c r="T11" s="23"/>
      <c r="U11" s="23"/>
      <c r="V11" s="23"/>
      <c r="W11" s="23"/>
      <c r="X11" s="23"/>
      <c r="Y11" s="23"/>
      <c r="Z11" s="16"/>
      <c r="AA11" s="16"/>
      <c r="AB11" s="16"/>
    </row>
    <row r="12" spans="1:28" ht="14" x14ac:dyDescent="0.15">
      <c r="A12" s="23"/>
      <c r="B12" s="21">
        <f t="shared" si="1"/>
        <v>2000</v>
      </c>
      <c r="C12" s="21">
        <f t="shared" si="1"/>
        <v>300</v>
      </c>
      <c r="D12" s="20">
        <f t="shared" si="1"/>
        <v>95</v>
      </c>
      <c r="E12" s="23">
        <v>0.56699999999999995</v>
      </c>
      <c r="F12" s="19">
        <f>E12*G3</f>
        <v>4.0909049999999993</v>
      </c>
      <c r="G12" s="20">
        <v>375</v>
      </c>
      <c r="H12" s="20">
        <f>G12*F12</f>
        <v>1534.0893749999998</v>
      </c>
      <c r="I12" s="23"/>
      <c r="J12" s="23"/>
      <c r="K12" s="23"/>
      <c r="L12" s="23"/>
      <c r="M12" s="23"/>
      <c r="N12" s="23"/>
      <c r="O12" s="23"/>
      <c r="P12" s="23"/>
      <c r="Q12" s="23"/>
      <c r="R12" s="23"/>
      <c r="S12" s="23"/>
      <c r="T12" s="23"/>
      <c r="U12" s="23"/>
      <c r="V12" s="23"/>
      <c r="W12" s="23"/>
      <c r="X12" s="23"/>
      <c r="Y12" s="23"/>
      <c r="Z12" s="16"/>
      <c r="AA12" s="16"/>
      <c r="AB12" s="16"/>
    </row>
    <row r="13" spans="1:28" ht="14" x14ac:dyDescent="0.15">
      <c r="A13" s="23"/>
      <c r="B13" s="19"/>
      <c r="C13" s="23"/>
      <c r="D13" s="23"/>
      <c r="E13" s="23"/>
      <c r="F13" s="23"/>
      <c r="G13" s="19"/>
      <c r="H13" s="23"/>
      <c r="I13" s="20"/>
      <c r="J13" s="23"/>
      <c r="K13" s="23">
        <v>1700</v>
      </c>
      <c r="L13" s="20">
        <f>K13*3.4121813</f>
        <v>5800.7082099999998</v>
      </c>
      <c r="M13" s="23"/>
      <c r="N13" s="23"/>
      <c r="O13" s="23"/>
      <c r="P13" s="23"/>
      <c r="Q13" s="23"/>
      <c r="R13" s="23"/>
      <c r="S13" s="23"/>
      <c r="T13" s="23"/>
      <c r="U13" s="23"/>
      <c r="V13" s="23"/>
      <c r="W13" s="23"/>
      <c r="X13" s="23"/>
      <c r="Y13" s="23"/>
      <c r="Z13" s="16"/>
      <c r="AA13" s="16"/>
      <c r="AB13" s="16"/>
    </row>
    <row r="14" spans="1:28" ht="60" x14ac:dyDescent="0.15">
      <c r="A14" s="22" t="s">
        <v>218</v>
      </c>
      <c r="B14" s="23"/>
      <c r="C14" s="23"/>
      <c r="D14" s="23"/>
      <c r="E14" s="23"/>
      <c r="F14" s="23"/>
      <c r="G14" s="23"/>
      <c r="H14" s="20"/>
      <c r="I14" s="20"/>
      <c r="J14" s="23"/>
      <c r="K14" s="23"/>
      <c r="L14" s="23"/>
      <c r="M14" s="23"/>
      <c r="N14" s="23"/>
      <c r="O14" s="23"/>
      <c r="P14" s="23"/>
      <c r="Q14" s="23"/>
      <c r="R14" s="23"/>
      <c r="S14" s="23"/>
      <c r="T14" s="23"/>
      <c r="U14" s="23"/>
      <c r="V14" s="23"/>
      <c r="W14" s="23"/>
      <c r="X14" s="23"/>
      <c r="Y14" s="23"/>
      <c r="Z14" s="16"/>
      <c r="AA14" s="16"/>
      <c r="AB14" s="16"/>
    </row>
    <row r="15" spans="1:28" ht="30" x14ac:dyDescent="0.15">
      <c r="A15" s="23"/>
      <c r="B15" s="23"/>
      <c r="C15" s="23"/>
      <c r="D15" s="23"/>
      <c r="E15" s="23" t="s">
        <v>219</v>
      </c>
      <c r="F15" s="23"/>
      <c r="G15" s="23"/>
      <c r="H15" s="20"/>
      <c r="I15" s="20"/>
      <c r="J15" s="23"/>
      <c r="K15" s="23"/>
      <c r="L15" s="23"/>
      <c r="M15" s="23"/>
      <c r="N15" s="23"/>
      <c r="O15" s="23"/>
      <c r="P15" s="23"/>
      <c r="Q15" s="23"/>
      <c r="R15" s="23"/>
      <c r="S15" s="23"/>
      <c r="T15" s="23"/>
      <c r="U15" s="23"/>
      <c r="V15" s="23"/>
      <c r="W15" s="23"/>
      <c r="X15" s="23"/>
      <c r="Y15" s="23"/>
      <c r="Z15" s="16"/>
      <c r="AA15" s="16"/>
      <c r="AB15" s="16"/>
    </row>
    <row r="16" spans="1:28" ht="30" x14ac:dyDescent="0.15">
      <c r="A16" s="23"/>
      <c r="B16" s="23" t="str">
        <f>B1</f>
        <v>length (x)</v>
      </c>
      <c r="C16" s="23" t="str">
        <f>C1</f>
        <v>height (y)</v>
      </c>
      <c r="D16" s="23" t="str">
        <f>D1</f>
        <v>depth (z)</v>
      </c>
      <c r="E16" s="23" t="s">
        <v>220</v>
      </c>
      <c r="F16" s="23" t="s">
        <v>221</v>
      </c>
      <c r="G16" s="23" t="s">
        <v>222</v>
      </c>
      <c r="H16" s="23"/>
      <c r="I16" s="23"/>
      <c r="J16" s="23"/>
      <c r="K16" s="23"/>
      <c r="L16" s="23"/>
      <c r="M16" s="23"/>
      <c r="N16" s="23"/>
      <c r="O16" s="23"/>
      <c r="P16" s="23"/>
      <c r="Q16" s="23"/>
      <c r="R16" s="23"/>
      <c r="S16" s="23"/>
      <c r="T16" s="23"/>
      <c r="U16" s="23"/>
      <c r="V16" s="23"/>
      <c r="W16" s="23"/>
      <c r="X16" s="23"/>
      <c r="Y16" s="23"/>
      <c r="Z16" s="16"/>
      <c r="AA16" s="16"/>
      <c r="AB16" s="16"/>
    </row>
    <row r="17" spans="1:28" ht="15" x14ac:dyDescent="0.15">
      <c r="A17" s="23" t="s">
        <v>166</v>
      </c>
      <c r="B17" s="23">
        <f>'OUTLINE VENEER RANGE SIZE CALC'!D11</f>
        <v>584</v>
      </c>
      <c r="C17" s="23">
        <f>'OUTLINE VENEER RANGE SIZE CALC'!E11</f>
        <v>940</v>
      </c>
      <c r="D17" s="23">
        <f>D2</f>
        <v>50</v>
      </c>
      <c r="E17" s="23">
        <f t="shared" ref="E17:G18" si="2">B17</f>
        <v>584</v>
      </c>
      <c r="F17" s="23">
        <f t="shared" si="2"/>
        <v>940</v>
      </c>
      <c r="G17" s="23">
        <f t="shared" si="2"/>
        <v>50</v>
      </c>
      <c r="H17" s="23"/>
      <c r="I17" s="23"/>
      <c r="J17" s="23"/>
      <c r="K17" s="23"/>
      <c r="L17" s="23"/>
      <c r="M17" s="23"/>
      <c r="N17" s="23"/>
      <c r="O17" s="23"/>
      <c r="P17" s="23"/>
      <c r="Q17" s="23"/>
      <c r="R17" s="23"/>
      <c r="S17" s="23"/>
      <c r="T17" s="23"/>
      <c r="U17" s="23"/>
      <c r="V17" s="23"/>
      <c r="W17" s="23"/>
      <c r="X17" s="23"/>
      <c r="Y17" s="23"/>
      <c r="Z17" s="16"/>
      <c r="AA17" s="16"/>
      <c r="AB17" s="16"/>
    </row>
    <row r="18" spans="1:28" ht="15" x14ac:dyDescent="0.15">
      <c r="A18" s="23" t="s">
        <v>167</v>
      </c>
      <c r="B18" s="23">
        <f>'OUTLINE VENEER RANGE SIZE CALC'!D12</f>
        <v>584</v>
      </c>
      <c r="C18" s="23">
        <f>'OUTLINE VENEER RANGE SIZE CALC'!E12</f>
        <v>940</v>
      </c>
      <c r="D18" s="23">
        <f>D3</f>
        <v>95</v>
      </c>
      <c r="E18" s="23">
        <f t="shared" si="2"/>
        <v>584</v>
      </c>
      <c r="F18" s="23">
        <f t="shared" si="2"/>
        <v>940</v>
      </c>
      <c r="G18" s="23">
        <f t="shared" si="2"/>
        <v>95</v>
      </c>
      <c r="H18" s="23"/>
      <c r="I18" s="23"/>
      <c r="J18" s="23"/>
      <c r="K18" s="23"/>
      <c r="L18" s="23"/>
      <c r="M18" s="23"/>
      <c r="N18" s="23"/>
      <c r="O18" s="23"/>
      <c r="P18" s="23"/>
      <c r="Q18" s="23"/>
      <c r="R18" s="23"/>
      <c r="S18" s="23"/>
      <c r="T18" s="23"/>
      <c r="U18" s="23"/>
      <c r="V18" s="23"/>
      <c r="W18" s="23"/>
      <c r="X18" s="23"/>
      <c r="Y18" s="23"/>
      <c r="Z18" s="16"/>
      <c r="AA18" s="16"/>
      <c r="AB18" s="16"/>
    </row>
    <row r="19" spans="1:28" ht="14" x14ac:dyDescent="0.1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16"/>
      <c r="AA19" s="16"/>
      <c r="AB19" s="16"/>
    </row>
    <row r="20" spans="1:28" ht="14" x14ac:dyDescent="0.15">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16"/>
      <c r="AA20" s="16"/>
      <c r="AB20" s="16"/>
    </row>
    <row r="21" spans="1:28" ht="120" x14ac:dyDescent="0.15">
      <c r="A21" s="22" t="s">
        <v>168</v>
      </c>
      <c r="B21" s="23" t="s">
        <v>169</v>
      </c>
      <c r="C21" s="23" t="s">
        <v>170</v>
      </c>
      <c r="D21" s="23" t="s">
        <v>162</v>
      </c>
      <c r="E21" s="23" t="s">
        <v>171</v>
      </c>
      <c r="F21" s="23" t="s">
        <v>172</v>
      </c>
      <c r="G21" s="23"/>
      <c r="H21" s="23" t="s">
        <v>173</v>
      </c>
      <c r="I21" s="23" t="s">
        <v>174</v>
      </c>
      <c r="J21" s="23" t="s">
        <v>175</v>
      </c>
      <c r="K21" s="23" t="s">
        <v>176</v>
      </c>
      <c r="L21" s="23" t="s">
        <v>177</v>
      </c>
      <c r="M21" s="23" t="s">
        <v>178</v>
      </c>
      <c r="N21" s="23" t="s">
        <v>179</v>
      </c>
      <c r="O21" s="23" t="s">
        <v>180</v>
      </c>
      <c r="P21" s="23" t="s">
        <v>181</v>
      </c>
      <c r="Q21" s="23" t="s">
        <v>182</v>
      </c>
      <c r="R21" s="23" t="s">
        <v>183</v>
      </c>
      <c r="S21" s="23" t="s">
        <v>184</v>
      </c>
      <c r="T21" s="23" t="s">
        <v>185</v>
      </c>
      <c r="U21" s="23" t="s">
        <v>186</v>
      </c>
      <c r="V21" s="23" t="s">
        <v>187</v>
      </c>
      <c r="W21" s="23" t="s">
        <v>188</v>
      </c>
      <c r="X21" s="23" t="s">
        <v>189</v>
      </c>
      <c r="Y21" s="23" t="s">
        <v>180</v>
      </c>
      <c r="Z21" s="16" t="s">
        <v>191</v>
      </c>
      <c r="AA21" s="16"/>
      <c r="AB21" s="16"/>
    </row>
    <row r="22" spans="1:28" ht="15" x14ac:dyDescent="0.15">
      <c r="A22" s="23" t="s">
        <v>166</v>
      </c>
      <c r="B22" s="18">
        <f>'OUTLINE VENEER RANGE SIZE CALC'!D11</f>
        <v>584</v>
      </c>
      <c r="C22" s="18">
        <f>'OUTLINE VENEER RANGE SIZE CALC'!E11</f>
        <v>940</v>
      </c>
      <c r="D22" s="23">
        <v>50</v>
      </c>
      <c r="E22" s="23">
        <f>ROUNDDOWN(J22/93,0)</f>
        <v>6</v>
      </c>
      <c r="F22" s="23">
        <f>C22-115-120</f>
        <v>705</v>
      </c>
      <c r="G22" s="23">
        <f>N22*((C22-115)/1000)</f>
        <v>4.125</v>
      </c>
      <c r="H22" s="23">
        <f>N22*F22/1000</f>
        <v>3.5249999999999999</v>
      </c>
      <c r="I22" s="23">
        <f>B22-54</f>
        <v>530</v>
      </c>
      <c r="J22" s="23">
        <f>B22-3</f>
        <v>581</v>
      </c>
      <c r="K22" s="23">
        <f>E22*93-1</f>
        <v>557</v>
      </c>
      <c r="L22" s="23">
        <f>(J22-K22)/2</f>
        <v>12</v>
      </c>
      <c r="M22" s="23">
        <v>18</v>
      </c>
      <c r="N22" s="23">
        <f>IF(L22&lt;M22,(E22-1),IF(L22&gt;=M22,E22))</f>
        <v>5</v>
      </c>
      <c r="O22" s="23">
        <f>IF(Y22&lt;Z22,(Z22),IF(Y22&gt;=Z22,(Y22)))</f>
        <v>2</v>
      </c>
      <c r="P22" s="23">
        <f>F22+107+120</f>
        <v>932</v>
      </c>
      <c r="Q22" s="23">
        <f>O22*P22/1000</f>
        <v>1.8640000000000001</v>
      </c>
      <c r="R22" s="23">
        <f>N22*2</f>
        <v>10</v>
      </c>
      <c r="S22" s="23">
        <f>$O22*2</f>
        <v>4</v>
      </c>
      <c r="T22" s="23">
        <f>$O22*2</f>
        <v>4</v>
      </c>
      <c r="U22" s="23">
        <v>4</v>
      </c>
      <c r="V22" s="23">
        <f>R22</f>
        <v>10</v>
      </c>
      <c r="W22" s="23">
        <f>R22</f>
        <v>10</v>
      </c>
      <c r="X22" s="23">
        <v>2</v>
      </c>
      <c r="Y22" s="23">
        <f>ROUNDUP(I22/500,0)</f>
        <v>2</v>
      </c>
      <c r="Z22" s="16">
        <v>2</v>
      </c>
      <c r="AA22" s="16"/>
      <c r="AB22" s="16"/>
    </row>
    <row r="23" spans="1:28" ht="15" x14ac:dyDescent="0.15">
      <c r="A23" s="23" t="s">
        <v>167</v>
      </c>
      <c r="B23" s="18">
        <f>'OUTLINE VENEER RANGE SIZE CALC'!D12</f>
        <v>584</v>
      </c>
      <c r="C23" s="18">
        <f>'OUTLINE VENEER RANGE SIZE CALC'!E12</f>
        <v>940</v>
      </c>
      <c r="D23" s="23">
        <v>95</v>
      </c>
      <c r="E23" s="23">
        <f>ROUNDDOWN(J23/49,0)</f>
        <v>11</v>
      </c>
      <c r="F23" s="23">
        <f>C23-115-120</f>
        <v>705</v>
      </c>
      <c r="G23" s="19">
        <f>N23*((C23-115)/1000)</f>
        <v>9.0749999999999993</v>
      </c>
      <c r="H23" s="23">
        <f>N23*F23/1000</f>
        <v>7.7549999999999999</v>
      </c>
      <c r="I23" s="23">
        <f>B23-54</f>
        <v>530</v>
      </c>
      <c r="J23" s="23">
        <f>B23-3</f>
        <v>581</v>
      </c>
      <c r="K23" s="23">
        <f>E23*49-1</f>
        <v>538</v>
      </c>
      <c r="L23" s="23">
        <f>(J23-K23)/2</f>
        <v>21.5</v>
      </c>
      <c r="M23" s="23">
        <v>20</v>
      </c>
      <c r="N23" s="23">
        <f>IF(L23&lt;M23,(E23-1),IF(L23&gt;=M23,E23))</f>
        <v>11</v>
      </c>
      <c r="O23" s="23">
        <f>IF(Y23&lt;Z23,(Z23),IF(Y23&gt;=Z23,(Y23)))</f>
        <v>2</v>
      </c>
      <c r="P23" s="23">
        <f>F23+107+120</f>
        <v>932</v>
      </c>
      <c r="Q23" s="23">
        <f>O23*P23/1000</f>
        <v>1.8640000000000001</v>
      </c>
      <c r="R23" s="23">
        <f>N23*2</f>
        <v>22</v>
      </c>
      <c r="S23" s="23">
        <f>$O23*2</f>
        <v>4</v>
      </c>
      <c r="T23" s="23">
        <f>$O23*2</f>
        <v>4</v>
      </c>
      <c r="U23" s="23">
        <v>4</v>
      </c>
      <c r="V23" s="23">
        <f>R23</f>
        <v>22</v>
      </c>
      <c r="W23" s="23">
        <f>R23</f>
        <v>22</v>
      </c>
      <c r="X23" s="23">
        <v>2</v>
      </c>
      <c r="Y23" s="23">
        <f>ROUNDUP(I23/500,0)</f>
        <v>2</v>
      </c>
      <c r="Z23" s="16">
        <v>2</v>
      </c>
      <c r="AA23" s="16"/>
      <c r="AB23" s="16"/>
    </row>
    <row r="24" spans="1:28" ht="14" x14ac:dyDescent="0.1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16"/>
      <c r="AB24" s="16"/>
    </row>
    <row r="25" spans="1:28" ht="105" x14ac:dyDescent="0.15">
      <c r="A25" s="22" t="s">
        <v>192</v>
      </c>
      <c r="B25" s="23" t="str">
        <f>B21</f>
        <v>length (x)</v>
      </c>
      <c r="C25" s="23" t="str">
        <f>C21</f>
        <v>height (y)</v>
      </c>
      <c r="D25" s="23" t="str">
        <f>D21</f>
        <v>depth (z)</v>
      </c>
      <c r="E25" s="23" t="s">
        <v>193</v>
      </c>
      <c r="F25" s="23" t="s">
        <v>194</v>
      </c>
      <c r="G25" s="23" t="s">
        <v>195</v>
      </c>
      <c r="H25" s="23" t="s">
        <v>196</v>
      </c>
      <c r="I25" s="23" t="s">
        <v>197</v>
      </c>
      <c r="J25" s="23" t="s">
        <v>198</v>
      </c>
      <c r="K25" s="23" t="s">
        <v>199</v>
      </c>
      <c r="L25" s="23" t="s">
        <v>200</v>
      </c>
      <c r="M25" s="23" t="s">
        <v>201</v>
      </c>
      <c r="N25" s="23" t="s">
        <v>202</v>
      </c>
      <c r="O25" s="23" t="s">
        <v>203</v>
      </c>
      <c r="P25" s="23" t="s">
        <v>204</v>
      </c>
      <c r="Q25" s="23" t="s">
        <v>205</v>
      </c>
      <c r="R25" s="23" t="s">
        <v>206</v>
      </c>
      <c r="S25" s="23" t="s">
        <v>207</v>
      </c>
      <c r="T25" s="23" t="s">
        <v>208</v>
      </c>
      <c r="U25" s="23" t="s">
        <v>209</v>
      </c>
      <c r="V25" s="23" t="s">
        <v>210</v>
      </c>
      <c r="W25" s="22" t="s">
        <v>211</v>
      </c>
      <c r="X25" s="23"/>
      <c r="Y25" s="23"/>
      <c r="Z25" s="16"/>
      <c r="AA25" s="16"/>
      <c r="AB25" s="16"/>
    </row>
    <row r="26" spans="1:28" ht="30" x14ac:dyDescent="0.15">
      <c r="A26" s="23" t="s">
        <v>212</v>
      </c>
      <c r="B26" s="23"/>
      <c r="C26" s="23"/>
      <c r="D26" s="23"/>
      <c r="E26" s="23">
        <v>4.5599999999999996</v>
      </c>
      <c r="F26" s="19">
        <v>2.86</v>
      </c>
      <c r="G26" s="23">
        <v>0.3</v>
      </c>
      <c r="H26" s="19">
        <f>0.35</f>
        <v>0.35</v>
      </c>
      <c r="I26" s="19">
        <v>0.5</v>
      </c>
      <c r="J26" s="23">
        <v>1.5</v>
      </c>
      <c r="K26" s="23">
        <v>0.25</v>
      </c>
      <c r="L26" s="23">
        <f>0.7+0.0735</f>
        <v>0.77349999999999997</v>
      </c>
      <c r="M26" s="23">
        <f>0.065+0.7</f>
        <v>0.7649999999999999</v>
      </c>
      <c r="N26" s="23">
        <v>100</v>
      </c>
      <c r="O26" s="23">
        <v>1</v>
      </c>
      <c r="P26" s="23">
        <v>0.06</v>
      </c>
      <c r="Q26" s="23">
        <v>20</v>
      </c>
      <c r="R26" s="23">
        <v>15</v>
      </c>
      <c r="S26" s="23">
        <v>6</v>
      </c>
      <c r="T26" s="23">
        <v>0.65200000000000002</v>
      </c>
      <c r="U26" s="23">
        <f>45/100</f>
        <v>0.45</v>
      </c>
      <c r="V26" s="23">
        <v>0.03</v>
      </c>
      <c r="W26" s="23"/>
      <c r="X26" s="23"/>
      <c r="Y26" s="23"/>
      <c r="Z26" s="16"/>
      <c r="AA26" s="16"/>
      <c r="AB26" s="16"/>
    </row>
    <row r="27" spans="1:28" ht="15" x14ac:dyDescent="0.15">
      <c r="A27" s="23" t="s">
        <v>166</v>
      </c>
      <c r="B27" s="18">
        <f t="shared" ref="B27:D28" si="3">B22</f>
        <v>584</v>
      </c>
      <c r="C27" s="18">
        <f t="shared" si="3"/>
        <v>940</v>
      </c>
      <c r="D27" s="23">
        <f t="shared" si="3"/>
        <v>50</v>
      </c>
      <c r="E27" s="19">
        <f>E$6*G22</f>
        <v>18.809999999999999</v>
      </c>
      <c r="F27" s="19">
        <f>(I22/1000)*F$6*2</f>
        <v>3.0316000000000001</v>
      </c>
      <c r="G27" s="19">
        <f>N22*2*G$6</f>
        <v>3</v>
      </c>
      <c r="H27" s="19">
        <f>H$6*Q22</f>
        <v>0.65239999999999998</v>
      </c>
      <c r="I27" s="19">
        <f>O22*I$6*2</f>
        <v>2</v>
      </c>
      <c r="J27" s="23">
        <f>J$6*U22</f>
        <v>6</v>
      </c>
      <c r="K27" s="19">
        <f>K$6*R22</f>
        <v>2.5</v>
      </c>
      <c r="L27" s="19">
        <f>L$6*S22</f>
        <v>3.0939999999999999</v>
      </c>
      <c r="M27" s="19">
        <f>M$6*U22</f>
        <v>3.0599999999999996</v>
      </c>
      <c r="N27" s="23">
        <f>(B27*C27)/(1000*1000)*N$6</f>
        <v>54.896000000000001</v>
      </c>
      <c r="O27" s="23">
        <f>O$6*V22</f>
        <v>10</v>
      </c>
      <c r="P27" s="23">
        <f>P$6*W22</f>
        <v>0.6</v>
      </c>
      <c r="Q27" s="23">
        <f>Q$6</f>
        <v>20</v>
      </c>
      <c r="R27" s="23">
        <f>R$6</f>
        <v>15</v>
      </c>
      <c r="S27" s="23">
        <v>6</v>
      </c>
      <c r="T27" s="23">
        <f>T$6*X22</f>
        <v>1.304</v>
      </c>
      <c r="U27" s="23">
        <f>U$6*X22</f>
        <v>0.9</v>
      </c>
      <c r="V27" s="23">
        <f>T22*V26</f>
        <v>0.12</v>
      </c>
      <c r="W27" s="19">
        <f>SUM(E27:V27)</f>
        <v>150.96800000000002</v>
      </c>
      <c r="X27" s="19">
        <f>W27*3.7</f>
        <v>558.58160000000009</v>
      </c>
      <c r="Y27" s="19">
        <f>X27*1.035*1.08*1.04*1.1</f>
        <v>714.29359427712006</v>
      </c>
      <c r="Z27" s="19">
        <f>Y27*1.08</f>
        <v>771.43708181928969</v>
      </c>
      <c r="AA27" s="19">
        <f>Z27*1.1*1.045</f>
        <v>886.76692555127352</v>
      </c>
      <c r="AB27" s="19">
        <f>Y27*1.55*1.045*1.08</f>
        <v>1249.5352132767944</v>
      </c>
    </row>
    <row r="28" spans="1:28" ht="15" x14ac:dyDescent="0.15">
      <c r="A28" s="23" t="s">
        <v>167</v>
      </c>
      <c r="B28" s="18">
        <f t="shared" si="3"/>
        <v>584</v>
      </c>
      <c r="C28" s="18">
        <f t="shared" si="3"/>
        <v>940</v>
      </c>
      <c r="D28" s="23">
        <f t="shared" si="3"/>
        <v>95</v>
      </c>
      <c r="E28" s="19">
        <f>E$6*G23</f>
        <v>41.381999999999991</v>
      </c>
      <c r="F28" s="19">
        <f>(I23/1000)*F$6*2</f>
        <v>3.0316000000000001</v>
      </c>
      <c r="G28" s="19">
        <f>N23*2*G$6</f>
        <v>6.6</v>
      </c>
      <c r="H28" s="19">
        <f>H$6*Q23</f>
        <v>0.65239999999999998</v>
      </c>
      <c r="I28" s="19">
        <f>O23*I$6*2</f>
        <v>2</v>
      </c>
      <c r="J28" s="23">
        <f>J$6*U23</f>
        <v>6</v>
      </c>
      <c r="K28" s="19">
        <f>K$6*R23</f>
        <v>5.5</v>
      </c>
      <c r="L28" s="19">
        <f>L$6*S23</f>
        <v>3.0939999999999999</v>
      </c>
      <c r="M28" s="19">
        <f>M$6*U23</f>
        <v>3.0599999999999996</v>
      </c>
      <c r="N28" s="23">
        <f>(B28*C28)/(1000*1000)*N$6</f>
        <v>54.896000000000001</v>
      </c>
      <c r="O28" s="23">
        <f>O$6*V23</f>
        <v>22</v>
      </c>
      <c r="P28" s="23">
        <f>P$6*W23</f>
        <v>1.3199999999999998</v>
      </c>
      <c r="Q28" s="23">
        <f>Q$6</f>
        <v>20</v>
      </c>
      <c r="R28" s="23">
        <f>R$6</f>
        <v>15</v>
      </c>
      <c r="S28" s="23">
        <v>6</v>
      </c>
      <c r="T28" s="23">
        <f>T$6*X23</f>
        <v>1.304</v>
      </c>
      <c r="U28" s="23">
        <f>U$6*X23</f>
        <v>0.9</v>
      </c>
      <c r="V28" s="23">
        <f>T23*V26</f>
        <v>0.12</v>
      </c>
      <c r="W28" s="19">
        <f>SUM(E28:V28)</f>
        <v>192.86</v>
      </c>
      <c r="X28" s="19">
        <f>W28*3.7</f>
        <v>713.58200000000011</v>
      </c>
      <c r="Y28" s="19">
        <f>X28*1.035*1.08*1.04*1.1</f>
        <v>912.50240178240028</v>
      </c>
      <c r="Z28" s="19">
        <f>Y28*1.08</f>
        <v>985.50259392499242</v>
      </c>
      <c r="AA28" s="19">
        <f>Z28*1.1*1.045</f>
        <v>1132.8352317167789</v>
      </c>
      <c r="AB28" s="19">
        <f>Y28*1.55*1.045*1.08</f>
        <v>1596.2678265100062</v>
      </c>
    </row>
    <row r="29" spans="1:28" ht="14" x14ac:dyDescent="0.15">
      <c r="A29" s="23"/>
      <c r="B29" s="18"/>
      <c r="C29" s="18"/>
      <c r="D29" s="23"/>
      <c r="E29" s="19"/>
      <c r="F29" s="19"/>
      <c r="G29" s="19"/>
      <c r="H29" s="19"/>
      <c r="I29" s="19"/>
      <c r="J29" s="23"/>
      <c r="K29" s="19"/>
      <c r="L29" s="19"/>
      <c r="M29" s="19"/>
      <c r="N29" s="23"/>
      <c r="O29" s="23"/>
      <c r="P29" s="23"/>
      <c r="Q29" s="23"/>
      <c r="R29" s="23"/>
      <c r="S29" s="23"/>
      <c r="T29" s="23"/>
      <c r="U29" s="23"/>
      <c r="V29" s="23"/>
      <c r="W29" s="19"/>
      <c r="X29" s="19"/>
      <c r="Y29" s="23"/>
      <c r="Z29" s="16"/>
      <c r="AA29" s="16"/>
      <c r="AB29" s="16"/>
    </row>
    <row r="30" spans="1:28" ht="120" x14ac:dyDescent="0.15">
      <c r="A30" s="22" t="s">
        <v>168</v>
      </c>
      <c r="B30" s="23" t="s">
        <v>169</v>
      </c>
      <c r="C30" s="23" t="s">
        <v>170</v>
      </c>
      <c r="D30" s="23" t="s">
        <v>162</v>
      </c>
      <c r="E30" s="23" t="s">
        <v>171</v>
      </c>
      <c r="F30" s="23" t="s">
        <v>172</v>
      </c>
      <c r="G30" s="23" t="s">
        <v>173</v>
      </c>
      <c r="H30" s="23" t="s">
        <v>174</v>
      </c>
      <c r="I30" s="23" t="s">
        <v>175</v>
      </c>
      <c r="J30" s="23" t="s">
        <v>176</v>
      </c>
      <c r="K30" s="23" t="s">
        <v>177</v>
      </c>
      <c r="L30" s="23" t="s">
        <v>178</v>
      </c>
      <c r="M30" s="23" t="s">
        <v>179</v>
      </c>
      <c r="N30" s="23" t="s">
        <v>180</v>
      </c>
      <c r="O30" s="23" t="s">
        <v>181</v>
      </c>
      <c r="P30" s="23" t="s">
        <v>182</v>
      </c>
      <c r="Q30" s="23" t="s">
        <v>183</v>
      </c>
      <c r="R30" s="23" t="s">
        <v>184</v>
      </c>
      <c r="S30" s="23" t="s">
        <v>185</v>
      </c>
      <c r="T30" s="23" t="s">
        <v>186</v>
      </c>
      <c r="U30" s="23" t="s">
        <v>187</v>
      </c>
      <c r="V30" s="23" t="s">
        <v>188</v>
      </c>
      <c r="W30" s="23" t="s">
        <v>189</v>
      </c>
      <c r="X30" s="23" t="s">
        <v>190</v>
      </c>
      <c r="Y30" s="16" t="s">
        <v>191</v>
      </c>
      <c r="Z30" s="16"/>
      <c r="AA30" s="16"/>
      <c r="AB30" s="16"/>
    </row>
    <row r="31" spans="1:28" ht="15" x14ac:dyDescent="0.15">
      <c r="A31" s="23" t="s">
        <v>166</v>
      </c>
      <c r="B31" s="18">
        <f>'OUTLINE VENEER RANGE SIZE CALC'!D11</f>
        <v>584</v>
      </c>
      <c r="C31" s="18">
        <f>'OUTLINE VENEER RANGE SIZE CALC'!E11</f>
        <v>940</v>
      </c>
      <c r="D31" s="23">
        <v>50</v>
      </c>
      <c r="E31" s="23">
        <f>ROUNDDOWN(I31/93,0)</f>
        <v>6</v>
      </c>
      <c r="F31" s="23">
        <f>C31-115-120</f>
        <v>705</v>
      </c>
      <c r="G31" s="23">
        <f>M31*F31/1000</f>
        <v>3.5249999999999999</v>
      </c>
      <c r="H31" s="23">
        <f>B31-54</f>
        <v>530</v>
      </c>
      <c r="I31" s="23">
        <f>B31-3</f>
        <v>581</v>
      </c>
      <c r="J31" s="23">
        <f>E31*93-1</f>
        <v>557</v>
      </c>
      <c r="K31" s="23">
        <f>(I31-J31)/2</f>
        <v>12</v>
      </c>
      <c r="L31" s="23">
        <v>28</v>
      </c>
      <c r="M31" s="23">
        <f>IF(K31&lt;L31,(E31-1),IF(K31&gt;=L31,E31))</f>
        <v>5</v>
      </c>
      <c r="N31" s="23" t="e">
        <f>IF(#REF!&lt;Y31,(Y31),IF(#REF!&gt;=Y31,(#REF!)))</f>
        <v>#REF!</v>
      </c>
      <c r="O31" s="23">
        <f>F31+107+120</f>
        <v>932</v>
      </c>
      <c r="P31" s="23" t="e">
        <f>N31*O31/1000</f>
        <v>#REF!</v>
      </c>
      <c r="Q31" s="23">
        <f>$FJ31*2</f>
        <v>0</v>
      </c>
      <c r="R31" s="23">
        <f>$FK31*2</f>
        <v>0</v>
      </c>
      <c r="S31" s="23">
        <f>$FK31*2</f>
        <v>0</v>
      </c>
      <c r="T31" s="23">
        <v>4</v>
      </c>
      <c r="U31" s="23">
        <f>$FJ31*2</f>
        <v>0</v>
      </c>
      <c r="V31" s="23">
        <f>$FJ31*2</f>
        <v>0</v>
      </c>
      <c r="W31" s="23">
        <v>2</v>
      </c>
      <c r="X31" s="23">
        <f>S31</f>
        <v>0</v>
      </c>
      <c r="Y31" s="16">
        <v>2</v>
      </c>
      <c r="Z31" s="16"/>
      <c r="AA31" s="16"/>
      <c r="AB31" s="16"/>
    </row>
    <row r="32" spans="1:28" ht="15" x14ac:dyDescent="0.15">
      <c r="A32" s="23" t="s">
        <v>167</v>
      </c>
      <c r="B32" s="18">
        <f>'OUTLINE VENEER RANGE SIZE CALC'!D12</f>
        <v>584</v>
      </c>
      <c r="C32" s="18">
        <f>'OUTLINE VENEER RANGE SIZE CALC'!E12</f>
        <v>940</v>
      </c>
      <c r="D32" s="23">
        <v>95</v>
      </c>
      <c r="E32" s="23">
        <f>ROUNDDOWN(I32/49,0)</f>
        <v>11</v>
      </c>
      <c r="F32" s="23">
        <f>C32-115-120</f>
        <v>705</v>
      </c>
      <c r="G32" s="23">
        <f>M32*F32/1000</f>
        <v>7.05</v>
      </c>
      <c r="H32" s="23">
        <f>B32-54</f>
        <v>530</v>
      </c>
      <c r="I32" s="23">
        <f>B32-3</f>
        <v>581</v>
      </c>
      <c r="J32" s="23">
        <f>E32*49-1</f>
        <v>538</v>
      </c>
      <c r="K32" s="23">
        <f>(I32-J32)/2</f>
        <v>21.5</v>
      </c>
      <c r="L32" s="23">
        <v>28</v>
      </c>
      <c r="M32" s="23">
        <f>IF(K32&lt;L32,(E32-1),IF(K32&gt;=L32,E32))</f>
        <v>10</v>
      </c>
      <c r="N32" s="23" t="e">
        <f>IF(#REF!&lt;Y32,(Y32),IF(#REF!&gt;=Y32,(#REF!)))</f>
        <v>#REF!</v>
      </c>
      <c r="O32" s="23">
        <f>F32+107+120</f>
        <v>932</v>
      </c>
      <c r="P32" s="23" t="e">
        <f>N32*O32/1000</f>
        <v>#REF!</v>
      </c>
      <c r="Q32" s="23">
        <f>$FJ32*2</f>
        <v>0</v>
      </c>
      <c r="R32" s="23">
        <f>$FK32*2</f>
        <v>0</v>
      </c>
      <c r="S32" s="23">
        <f>$FK32*2</f>
        <v>0</v>
      </c>
      <c r="T32" s="23">
        <v>4</v>
      </c>
      <c r="U32" s="23">
        <f>$FJ32*2</f>
        <v>0</v>
      </c>
      <c r="V32" s="23">
        <f>$FJ32*2</f>
        <v>0</v>
      </c>
      <c r="W32" s="23">
        <v>2</v>
      </c>
      <c r="X32" s="23">
        <f>S32</f>
        <v>0</v>
      </c>
      <c r="Y32" s="16">
        <v>2</v>
      </c>
      <c r="Z32" s="16"/>
      <c r="AA32" s="16"/>
      <c r="AB32" s="16"/>
    </row>
    <row r="33" spans="1:28" ht="14" x14ac:dyDescent="0.15">
      <c r="A33" s="23"/>
      <c r="B33" s="18"/>
      <c r="C33" s="18"/>
      <c r="D33" s="23"/>
      <c r="E33" s="19"/>
      <c r="F33" s="19"/>
      <c r="G33" s="19"/>
      <c r="H33" s="19"/>
      <c r="I33" s="19"/>
      <c r="J33" s="23"/>
      <c r="K33" s="19"/>
      <c r="L33" s="19"/>
      <c r="M33" s="19"/>
      <c r="N33" s="23"/>
      <c r="O33" s="23"/>
      <c r="P33" s="23"/>
      <c r="Q33" s="23"/>
      <c r="R33" s="23"/>
      <c r="S33" s="23"/>
      <c r="T33" s="23"/>
      <c r="U33" s="23"/>
      <c r="V33" s="23"/>
      <c r="W33" s="19"/>
      <c r="X33" s="19"/>
      <c r="Y33" s="23"/>
      <c r="Z33" s="16"/>
      <c r="AA33" s="16"/>
      <c r="AB33" s="16"/>
    </row>
    <row r="34" spans="1:28" ht="90" x14ac:dyDescent="0.15">
      <c r="A34" s="22" t="s">
        <v>213</v>
      </c>
      <c r="B34" s="19" t="str">
        <f t="shared" ref="B34:D36" si="4">B21</f>
        <v>length (x)</v>
      </c>
      <c r="C34" s="19" t="str">
        <f t="shared" si="4"/>
        <v>height (y)</v>
      </c>
      <c r="D34" s="19" t="str">
        <f t="shared" si="4"/>
        <v>depth (z)</v>
      </c>
      <c r="E34" s="23" t="s">
        <v>214</v>
      </c>
      <c r="F34" s="23" t="s">
        <v>215</v>
      </c>
      <c r="G34" s="23" t="s">
        <v>216</v>
      </c>
      <c r="H34" s="23" t="s">
        <v>217</v>
      </c>
      <c r="I34" s="23"/>
      <c r="J34" s="23"/>
      <c r="K34" s="23"/>
      <c r="L34" s="23"/>
      <c r="M34" s="23"/>
      <c r="N34" s="23"/>
      <c r="O34" s="23"/>
      <c r="P34" s="23"/>
      <c r="Q34" s="23"/>
      <c r="R34" s="23"/>
      <c r="S34" s="23"/>
      <c r="T34" s="23"/>
      <c r="U34" s="23"/>
      <c r="V34" s="23"/>
      <c r="W34" s="23"/>
      <c r="X34" s="23"/>
      <c r="Y34" s="23"/>
      <c r="Z34" s="16"/>
      <c r="AA34" s="16"/>
      <c r="AB34" s="16"/>
    </row>
    <row r="35" spans="1:28" ht="14" x14ac:dyDescent="0.15">
      <c r="A35" s="23"/>
      <c r="B35" s="21">
        <f t="shared" si="4"/>
        <v>584</v>
      </c>
      <c r="C35" s="21">
        <f t="shared" si="4"/>
        <v>940</v>
      </c>
      <c r="D35" s="20">
        <f t="shared" si="4"/>
        <v>50</v>
      </c>
      <c r="E35" s="23">
        <v>0.56699999999999995</v>
      </c>
      <c r="F35" s="19">
        <f>E35*G31</f>
        <v>1.9986749999999998</v>
      </c>
      <c r="G35" s="20">
        <v>375</v>
      </c>
      <c r="H35" s="20">
        <f>G35*F35</f>
        <v>749.50312499999995</v>
      </c>
      <c r="I35" s="23"/>
      <c r="J35" s="23"/>
      <c r="K35" s="23"/>
      <c r="L35" s="23"/>
      <c r="M35" s="23"/>
      <c r="N35" s="23"/>
      <c r="O35" s="23"/>
      <c r="P35" s="23"/>
      <c r="Q35" s="23"/>
      <c r="R35" s="23"/>
      <c r="S35" s="23"/>
      <c r="T35" s="23"/>
      <c r="U35" s="23"/>
      <c r="V35" s="23"/>
      <c r="W35" s="23"/>
      <c r="X35" s="23"/>
      <c r="Y35" s="23"/>
      <c r="Z35" s="16"/>
      <c r="AA35" s="16"/>
      <c r="AB35" s="16"/>
    </row>
    <row r="36" spans="1:28" ht="14" x14ac:dyDescent="0.15">
      <c r="A36" s="23"/>
      <c r="B36" s="21">
        <f t="shared" si="4"/>
        <v>584</v>
      </c>
      <c r="C36" s="21">
        <f t="shared" si="4"/>
        <v>940</v>
      </c>
      <c r="D36" s="20">
        <f t="shared" si="4"/>
        <v>95</v>
      </c>
      <c r="E36" s="23">
        <v>0.56699999999999995</v>
      </c>
      <c r="F36" s="19">
        <f>E36*G32</f>
        <v>3.9973499999999995</v>
      </c>
      <c r="G36" s="20">
        <v>375</v>
      </c>
      <c r="H36" s="20">
        <f>G36*F36</f>
        <v>1499.0062499999999</v>
      </c>
      <c r="I36" s="23"/>
      <c r="J36" s="23"/>
      <c r="K36" s="23"/>
      <c r="L36" s="23"/>
      <c r="M36" s="23"/>
      <c r="N36" s="23"/>
      <c r="O36" s="23"/>
      <c r="P36" s="23"/>
      <c r="Q36" s="23"/>
      <c r="R36" s="23"/>
      <c r="S36" s="23"/>
      <c r="T36" s="23"/>
      <c r="U36" s="23"/>
      <c r="V36" s="23"/>
      <c r="W36" s="23"/>
      <c r="X36" s="23"/>
      <c r="Y36" s="23"/>
      <c r="Z36" s="16"/>
      <c r="AA36" s="16"/>
      <c r="AB36" s="16"/>
    </row>
    <row r="37" spans="1:28" ht="14" x14ac:dyDescent="0.15">
      <c r="A37" s="23"/>
      <c r="B37" s="19"/>
      <c r="C37" s="23"/>
      <c r="D37" s="23"/>
      <c r="E37" s="23"/>
      <c r="F37" s="23"/>
      <c r="G37" s="19"/>
      <c r="H37" s="23"/>
      <c r="I37" s="20"/>
      <c r="J37" s="23"/>
      <c r="K37" s="23">
        <v>1700</v>
      </c>
      <c r="L37" s="20">
        <f>K37*3.4121813</f>
        <v>5800.7082099999998</v>
      </c>
      <c r="M37" s="23"/>
      <c r="N37" s="23"/>
      <c r="O37" s="23"/>
      <c r="P37" s="23"/>
      <c r="Q37" s="23"/>
      <c r="R37" s="23"/>
      <c r="S37" s="23"/>
      <c r="T37" s="23"/>
      <c r="U37" s="23"/>
      <c r="V37" s="23"/>
      <c r="W37" s="23"/>
      <c r="X37" s="23"/>
      <c r="Y37" s="23"/>
      <c r="Z37" s="16"/>
      <c r="AA37" s="16"/>
      <c r="AB37" s="16"/>
    </row>
    <row r="38" spans="1:28" ht="60" x14ac:dyDescent="0.15">
      <c r="A38" s="22" t="s">
        <v>218</v>
      </c>
      <c r="B38" s="23"/>
      <c r="C38" s="23"/>
      <c r="D38" s="23"/>
      <c r="E38" s="23"/>
      <c r="F38" s="23"/>
      <c r="G38" s="23"/>
      <c r="H38" s="20"/>
      <c r="I38" s="20"/>
      <c r="J38" s="23"/>
      <c r="K38" s="23"/>
      <c r="L38" s="23"/>
      <c r="M38" s="23"/>
      <c r="N38" s="23"/>
      <c r="O38" s="23"/>
      <c r="P38" s="23"/>
      <c r="Q38" s="23"/>
      <c r="R38" s="23"/>
      <c r="S38" s="23"/>
      <c r="T38" s="23"/>
      <c r="U38" s="23"/>
      <c r="V38" s="23"/>
      <c r="W38" s="23"/>
      <c r="X38" s="23"/>
      <c r="Y38" s="23"/>
      <c r="Z38" s="16"/>
      <c r="AA38" s="16"/>
      <c r="AB38" s="16"/>
    </row>
    <row r="39" spans="1:28" ht="30" x14ac:dyDescent="0.15">
      <c r="A39" s="23"/>
      <c r="B39" s="23"/>
      <c r="C39" s="23"/>
      <c r="D39" s="23"/>
      <c r="E39" s="23" t="s">
        <v>219</v>
      </c>
      <c r="F39" s="23"/>
      <c r="G39" s="23"/>
      <c r="H39" s="20"/>
      <c r="I39" s="20"/>
      <c r="J39" s="23"/>
      <c r="K39" s="23"/>
      <c r="L39" s="23"/>
      <c r="M39" s="23"/>
      <c r="N39" s="23"/>
      <c r="O39" s="23"/>
      <c r="P39" s="23"/>
      <c r="Q39" s="23"/>
      <c r="R39" s="23"/>
      <c r="S39" s="23"/>
      <c r="T39" s="23"/>
      <c r="U39" s="23"/>
      <c r="V39" s="23"/>
      <c r="W39" s="23"/>
      <c r="X39" s="23"/>
      <c r="Y39" s="23"/>
      <c r="Z39" s="16"/>
      <c r="AA39" s="16"/>
      <c r="AB39" s="16"/>
    </row>
    <row r="40" spans="1:28" ht="30" x14ac:dyDescent="0.15">
      <c r="A40" s="23"/>
      <c r="B40" s="23" t="str">
        <f>B21</f>
        <v>length (x)</v>
      </c>
      <c r="C40" s="23" t="str">
        <f>C21</f>
        <v>height (y)</v>
      </c>
      <c r="D40" s="23" t="str">
        <f>D21</f>
        <v>depth (z)</v>
      </c>
      <c r="E40" s="23" t="s">
        <v>220</v>
      </c>
      <c r="F40" s="23" t="s">
        <v>221</v>
      </c>
      <c r="G40" s="23" t="s">
        <v>222</v>
      </c>
      <c r="H40" s="23"/>
      <c r="I40" s="23"/>
      <c r="J40" s="23"/>
      <c r="K40" s="23"/>
      <c r="L40" s="23"/>
      <c r="M40" s="23"/>
      <c r="N40" s="23"/>
      <c r="O40" s="23"/>
      <c r="P40" s="23"/>
      <c r="Q40" s="23"/>
      <c r="R40" s="23"/>
      <c r="S40" s="23"/>
      <c r="T40" s="23"/>
      <c r="U40" s="23"/>
      <c r="V40" s="23"/>
      <c r="W40" s="23"/>
      <c r="X40" s="23"/>
      <c r="Y40" s="23"/>
      <c r="Z40" s="16"/>
      <c r="AA40" s="16"/>
      <c r="AB40" s="16"/>
    </row>
    <row r="41" spans="1:28" ht="15" x14ac:dyDescent="0.15">
      <c r="A41" s="23" t="s">
        <v>166</v>
      </c>
      <c r="B41" s="23">
        <f>'OUTLINE VENEER RANGE SIZE CALC'!D9</f>
        <v>2000</v>
      </c>
      <c r="C41" s="23">
        <f>'OUTLINE VENEER RANGE SIZE CALC'!E9</f>
        <v>300</v>
      </c>
      <c r="D41" s="23">
        <f>D22</f>
        <v>50</v>
      </c>
      <c r="E41" s="23">
        <f t="shared" ref="E41:G42" si="5">B41</f>
        <v>2000</v>
      </c>
      <c r="F41" s="23">
        <f t="shared" si="5"/>
        <v>300</v>
      </c>
      <c r="G41" s="23">
        <f t="shared" si="5"/>
        <v>50</v>
      </c>
      <c r="H41" s="23"/>
      <c r="I41" s="23"/>
      <c r="J41" s="23"/>
      <c r="K41" s="23"/>
      <c r="L41" s="23"/>
      <c r="M41" s="23"/>
      <c r="N41" s="23"/>
      <c r="O41" s="23"/>
      <c r="P41" s="23"/>
      <c r="Q41" s="23"/>
      <c r="R41" s="23"/>
      <c r="S41" s="23"/>
      <c r="T41" s="23"/>
      <c r="U41" s="23"/>
      <c r="V41" s="23"/>
      <c r="W41" s="23"/>
      <c r="X41" s="23"/>
      <c r="Y41" s="23"/>
      <c r="Z41" s="16"/>
      <c r="AA41" s="16"/>
      <c r="AB41" s="16"/>
    </row>
    <row r="42" spans="1:28" ht="15" x14ac:dyDescent="0.15">
      <c r="A42" s="23" t="s">
        <v>167</v>
      </c>
      <c r="B42" s="23">
        <f>'OUTLINE VENEER RANGE SIZE CALC'!D10</f>
        <v>2000</v>
      </c>
      <c r="C42" s="23">
        <f>'OUTLINE VENEER RANGE SIZE CALC'!E10</f>
        <v>300</v>
      </c>
      <c r="D42" s="23">
        <f>D23</f>
        <v>95</v>
      </c>
      <c r="E42" s="23">
        <f t="shared" si="5"/>
        <v>2000</v>
      </c>
      <c r="F42" s="23">
        <f t="shared" si="5"/>
        <v>300</v>
      </c>
      <c r="G42" s="23">
        <f t="shared" si="5"/>
        <v>95</v>
      </c>
      <c r="H42" s="23"/>
      <c r="I42" s="23"/>
      <c r="J42" s="23"/>
      <c r="K42" s="23"/>
      <c r="L42" s="23"/>
      <c r="M42" s="23"/>
      <c r="N42" s="23"/>
      <c r="O42" s="23"/>
      <c r="P42" s="23"/>
      <c r="Q42" s="23"/>
      <c r="R42" s="23"/>
      <c r="S42" s="23"/>
      <c r="T42" s="23"/>
      <c r="U42" s="23"/>
      <c r="V42" s="23"/>
      <c r="W42" s="23"/>
      <c r="X42" s="23"/>
      <c r="Y42" s="23"/>
      <c r="Z42" s="16"/>
      <c r="AA42" s="16"/>
      <c r="AB42" s="16"/>
    </row>
  </sheetData>
  <conditionalFormatting sqref="M32 M3 N23">
    <cfRule type="cellIs" dxfId="1" priority="1" stopIfTrue="1" operator="lessThan">
      <formula>$FB$3</formula>
    </cfRule>
  </conditionalFormatting>
  <conditionalFormatting sqref="M31 M2 N22">
    <cfRule type="cellIs" dxfId="0" priority="2" stopIfTrue="1" operator="lessThan">
      <formula>$FB$2</formula>
    </cfRule>
  </conditionalFormatting>
  <dataValidations count="1">
    <dataValidation allowBlank="1" showInputMessage="1" showErrorMessage="1" promptTitle="Don't touch these boxes!" prompt="You only need to enter length and height in the dark shaded boxes" sqref="Y27:AB28" xr:uid="{E6259247-A79C-4298-93BE-EA86FAA16D2C}"/>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J46"/>
  <sheetViews>
    <sheetView zoomScale="160" zoomScaleNormal="160" workbookViewId="0">
      <selection activeCell="G38" sqref="G9:G38"/>
    </sheetView>
  </sheetViews>
  <sheetFormatPr baseColWidth="10" defaultColWidth="8.796875" defaultRowHeight="14" x14ac:dyDescent="0.15"/>
  <cols>
    <col min="1" max="2" width="15" style="27" customWidth="1"/>
    <col min="3" max="3" width="15" style="52" customWidth="1"/>
    <col min="4" max="4" width="15" style="53" customWidth="1"/>
    <col min="5" max="6" width="15" style="27" customWidth="1"/>
    <col min="7" max="16384" width="8.796875" style="27"/>
  </cols>
  <sheetData>
    <row r="1" spans="1:10" ht="44.25" customHeight="1" x14ac:dyDescent="0.15">
      <c r="A1" s="368"/>
      <c r="B1" s="368"/>
      <c r="C1" s="368"/>
      <c r="D1" s="368"/>
      <c r="E1" s="368"/>
      <c r="F1" s="368"/>
    </row>
    <row r="2" spans="1:10" ht="17.25" customHeight="1" thickBot="1" x14ac:dyDescent="0.2">
      <c r="A2" s="28"/>
      <c r="B2" s="28"/>
      <c r="C2" s="28"/>
      <c r="D2" s="28"/>
      <c r="E2" s="28"/>
      <c r="F2" s="28"/>
    </row>
    <row r="3" spans="1:10" ht="18" customHeight="1" thickBot="1" x14ac:dyDescent="0.2">
      <c r="A3" s="512" t="s">
        <v>253</v>
      </c>
      <c r="B3" s="513"/>
      <c r="C3" s="513"/>
      <c r="D3" s="513"/>
      <c r="E3" s="513"/>
      <c r="F3" s="514"/>
    </row>
    <row r="4" spans="1:10" ht="49" customHeight="1" x14ac:dyDescent="0.15">
      <c r="A4" s="398" t="s">
        <v>301</v>
      </c>
      <c r="B4" s="399"/>
      <c r="C4" s="399"/>
      <c r="D4" s="399"/>
      <c r="E4" s="399"/>
      <c r="F4" s="431"/>
    </row>
    <row r="5" spans="1:10" ht="15" customHeight="1" x14ac:dyDescent="0.15">
      <c r="A5" s="359" t="s">
        <v>235</v>
      </c>
      <c r="B5" s="329" t="s">
        <v>236</v>
      </c>
      <c r="C5" s="361" t="s">
        <v>242</v>
      </c>
      <c r="D5" s="361" t="s">
        <v>243</v>
      </c>
      <c r="E5" s="329" t="s">
        <v>302</v>
      </c>
      <c r="F5" s="360" t="s">
        <v>267</v>
      </c>
    </row>
    <row r="6" spans="1:10" ht="64.25" customHeight="1" x14ac:dyDescent="0.15">
      <c r="A6" s="359"/>
      <c r="B6" s="329"/>
      <c r="C6" s="361"/>
      <c r="D6" s="361"/>
      <c r="E6" s="329"/>
      <c r="F6" s="360"/>
    </row>
    <row r="7" spans="1:10" ht="16.25" customHeight="1" x14ac:dyDescent="0.15">
      <c r="A7" s="490" t="s">
        <v>264</v>
      </c>
      <c r="B7" s="491"/>
      <c r="C7" s="491"/>
      <c r="D7" s="491"/>
      <c r="E7" s="491"/>
      <c r="F7" s="492"/>
    </row>
    <row r="8" spans="1:10" ht="12" customHeight="1" x14ac:dyDescent="0.15">
      <c r="A8" s="493" t="s">
        <v>237</v>
      </c>
      <c r="B8" s="494"/>
      <c r="C8" s="494"/>
      <c r="D8" s="494"/>
      <c r="E8" s="494"/>
      <c r="F8" s="495"/>
    </row>
    <row r="9" spans="1:10" ht="12" customHeight="1" x14ac:dyDescent="0.15">
      <c r="A9" s="29" t="s">
        <v>81</v>
      </c>
      <c r="B9" s="30" t="s">
        <v>82</v>
      </c>
      <c r="C9" s="38">
        <v>361.82</v>
      </c>
      <c r="D9" s="38">
        <f>C9*3.412</f>
        <v>1234.5298399999999</v>
      </c>
      <c r="E9" s="32">
        <v>1845.5165999999999</v>
      </c>
      <c r="F9" s="33">
        <v>2122.7831999999999</v>
      </c>
      <c r="G9" s="126"/>
      <c r="H9" s="126"/>
      <c r="I9" s="126"/>
      <c r="J9" s="126"/>
    </row>
    <row r="10" spans="1:10" ht="12" customHeight="1" x14ac:dyDescent="0.15">
      <c r="A10" s="35" t="s">
        <v>83</v>
      </c>
      <c r="B10" s="36" t="s">
        <v>84</v>
      </c>
      <c r="C10" s="38">
        <v>783.68000000000006</v>
      </c>
      <c r="D10" s="38">
        <f t="shared" ref="D10:D22" si="0">C10*3.412</f>
        <v>2673.9161600000002</v>
      </c>
      <c r="E10" s="38">
        <v>2445.2154</v>
      </c>
      <c r="F10" s="39">
        <v>2811.5585999999998</v>
      </c>
      <c r="G10" s="126"/>
      <c r="H10" s="126"/>
      <c r="I10" s="126"/>
      <c r="J10" s="126"/>
    </row>
    <row r="11" spans="1:10" ht="12" customHeight="1" x14ac:dyDescent="0.15">
      <c r="A11" s="29" t="s">
        <v>85</v>
      </c>
      <c r="B11" s="30" t="s">
        <v>86</v>
      </c>
      <c r="C11" s="38">
        <v>1516.01</v>
      </c>
      <c r="D11" s="38">
        <f t="shared" si="0"/>
        <v>5172.6261199999999</v>
      </c>
      <c r="E11" s="32">
        <v>3126.4631999999997</v>
      </c>
      <c r="F11" s="33">
        <v>3594.4289999999996</v>
      </c>
      <c r="G11" s="126"/>
      <c r="H11" s="126"/>
      <c r="I11" s="126"/>
      <c r="J11" s="126"/>
    </row>
    <row r="12" spans="1:10" ht="12" customHeight="1" x14ac:dyDescent="0.15">
      <c r="A12" s="35" t="s">
        <v>87</v>
      </c>
      <c r="B12" s="36" t="s">
        <v>88</v>
      </c>
      <c r="C12" s="38">
        <v>795.53000000000009</v>
      </c>
      <c r="D12" s="38">
        <f t="shared" si="0"/>
        <v>2714.3483600000004</v>
      </c>
      <c r="E12" s="38">
        <v>2334.8105999999998</v>
      </c>
      <c r="F12" s="39">
        <v>2683.5894000000003</v>
      </c>
      <c r="G12" s="126"/>
      <c r="H12" s="126"/>
      <c r="I12" s="126"/>
      <c r="J12" s="126"/>
    </row>
    <row r="13" spans="1:10" ht="12" customHeight="1" x14ac:dyDescent="0.15">
      <c r="A13" s="29" t="s">
        <v>89</v>
      </c>
      <c r="B13" s="30" t="s">
        <v>90</v>
      </c>
      <c r="C13" s="38">
        <v>1679.54</v>
      </c>
      <c r="D13" s="38">
        <f t="shared" si="0"/>
        <v>5730.5904799999998</v>
      </c>
      <c r="E13" s="32">
        <v>2955.8375999999998</v>
      </c>
      <c r="F13" s="33">
        <v>3399.965999999999</v>
      </c>
      <c r="G13" s="126"/>
      <c r="H13" s="126"/>
      <c r="I13" s="126"/>
      <c r="J13" s="126"/>
    </row>
    <row r="14" spans="1:10" ht="12" customHeight="1" thickBot="1" x14ac:dyDescent="0.2">
      <c r="A14" s="40" t="s">
        <v>91</v>
      </c>
      <c r="B14" s="41" t="s">
        <v>92</v>
      </c>
      <c r="C14" s="43">
        <v>2881.13</v>
      </c>
      <c r="D14" s="43">
        <f t="shared" si="0"/>
        <v>9830.4155599999995</v>
      </c>
      <c r="E14" s="43">
        <v>3876.7139999999995</v>
      </c>
      <c r="F14" s="44">
        <v>4458.8483999999999</v>
      </c>
      <c r="G14" s="126"/>
      <c r="H14" s="126"/>
      <c r="I14" s="126"/>
      <c r="J14" s="126"/>
    </row>
    <row r="15" spans="1:10" ht="12" customHeight="1" thickBot="1" x14ac:dyDescent="0.2">
      <c r="A15" s="125"/>
      <c r="B15" s="46"/>
      <c r="C15" s="47"/>
      <c r="D15" s="47"/>
      <c r="E15" s="47"/>
      <c r="F15" s="47"/>
      <c r="G15" s="126"/>
      <c r="H15" s="126"/>
      <c r="I15" s="126"/>
      <c r="J15" s="126"/>
    </row>
    <row r="16" spans="1:10" ht="12" customHeight="1" x14ac:dyDescent="0.15">
      <c r="A16" s="409" t="s">
        <v>238</v>
      </c>
      <c r="B16" s="499"/>
      <c r="C16" s="499"/>
      <c r="D16" s="499"/>
      <c r="E16" s="499"/>
      <c r="F16" s="500"/>
      <c r="G16" s="126"/>
      <c r="H16" s="126"/>
      <c r="I16" s="126"/>
      <c r="J16" s="126"/>
    </row>
    <row r="17" spans="1:10" ht="12" customHeight="1" x14ac:dyDescent="0.15">
      <c r="A17" s="29" t="s">
        <v>97</v>
      </c>
      <c r="B17" s="30" t="s">
        <v>98</v>
      </c>
      <c r="C17" s="38">
        <v>606.72</v>
      </c>
      <c r="D17" s="38">
        <f t="shared" si="0"/>
        <v>2070.1286399999999</v>
      </c>
      <c r="E17" s="32">
        <v>2188.0223999999998</v>
      </c>
      <c r="F17" s="33">
        <v>2515.473</v>
      </c>
      <c r="G17" s="126"/>
      <c r="H17" s="126"/>
      <c r="I17" s="126"/>
      <c r="J17" s="126"/>
    </row>
    <row r="18" spans="1:10" ht="12" customHeight="1" x14ac:dyDescent="0.15">
      <c r="A18" s="35" t="s">
        <v>99</v>
      </c>
      <c r="B18" s="36" t="s">
        <v>100</v>
      </c>
      <c r="C18" s="38">
        <v>1003.3000000000001</v>
      </c>
      <c r="D18" s="38">
        <f t="shared" si="0"/>
        <v>3423.2596000000003</v>
      </c>
      <c r="E18" s="38">
        <v>2592.0035999999996</v>
      </c>
      <c r="F18" s="39">
        <v>2982.1841999999997</v>
      </c>
      <c r="G18" s="126"/>
      <c r="H18" s="126"/>
      <c r="I18" s="126"/>
      <c r="J18" s="126"/>
    </row>
    <row r="19" spans="1:10" ht="12" customHeight="1" x14ac:dyDescent="0.15">
      <c r="A19" s="29" t="s">
        <v>101</v>
      </c>
      <c r="B19" s="30" t="s">
        <v>102</v>
      </c>
      <c r="C19" s="38">
        <v>1241.0900000000001</v>
      </c>
      <c r="D19" s="38">
        <f t="shared" si="0"/>
        <v>4234.59908</v>
      </c>
      <c r="E19" s="32">
        <v>2842.9235999999996</v>
      </c>
      <c r="F19" s="33">
        <v>3268.2329999999997</v>
      </c>
      <c r="G19" s="126"/>
      <c r="H19" s="126"/>
      <c r="I19" s="126"/>
      <c r="J19" s="126"/>
    </row>
    <row r="20" spans="1:10" ht="12" customHeight="1" x14ac:dyDescent="0.15">
      <c r="A20" s="35" t="s">
        <v>107</v>
      </c>
      <c r="B20" s="36" t="s">
        <v>108</v>
      </c>
      <c r="C20" s="38">
        <v>1061.76</v>
      </c>
      <c r="D20" s="38">
        <f t="shared" si="0"/>
        <v>3622.7251200000001</v>
      </c>
      <c r="E20" s="38">
        <v>2470.3074000000001</v>
      </c>
      <c r="F20" s="39">
        <v>2841.6689999999999</v>
      </c>
      <c r="G20" s="126"/>
      <c r="H20" s="126"/>
      <c r="I20" s="126"/>
      <c r="J20" s="126"/>
    </row>
    <row r="21" spans="1:10" ht="12" customHeight="1" x14ac:dyDescent="0.15">
      <c r="A21" s="29" t="s">
        <v>109</v>
      </c>
      <c r="B21" s="30" t="s">
        <v>110</v>
      </c>
      <c r="C21" s="38">
        <v>1755.38</v>
      </c>
      <c r="D21" s="38">
        <f t="shared" si="0"/>
        <v>5989.3565600000002</v>
      </c>
      <c r="E21" s="32">
        <v>2974.6565999999998</v>
      </c>
      <c r="F21" s="33">
        <v>3421.2941999999994</v>
      </c>
      <c r="G21" s="126"/>
      <c r="H21" s="126"/>
      <c r="I21" s="126"/>
      <c r="J21" s="126"/>
    </row>
    <row r="22" spans="1:10" ht="12" customHeight="1" thickBot="1" x14ac:dyDescent="0.2">
      <c r="A22" s="40" t="s">
        <v>111</v>
      </c>
      <c r="B22" s="41" t="s">
        <v>112</v>
      </c>
      <c r="C22" s="43">
        <v>2171.71</v>
      </c>
      <c r="D22" s="43">
        <f t="shared" si="0"/>
        <v>7409.8745200000003</v>
      </c>
      <c r="E22" s="43">
        <v>3275.7605999999996</v>
      </c>
      <c r="F22" s="44">
        <v>3767.5637999999999</v>
      </c>
      <c r="G22" s="126"/>
      <c r="H22" s="126"/>
      <c r="I22" s="126"/>
      <c r="J22" s="126"/>
    </row>
    <row r="23" spans="1:10" ht="12" customHeight="1" thickBot="1" x14ac:dyDescent="0.2">
      <c r="A23" s="125"/>
      <c r="B23" s="46"/>
      <c r="C23" s="47"/>
      <c r="D23" s="47"/>
      <c r="E23" s="47"/>
      <c r="F23" s="47"/>
      <c r="G23" s="126"/>
      <c r="H23" s="126"/>
      <c r="I23" s="126"/>
      <c r="J23" s="126"/>
    </row>
    <row r="24" spans="1:10" ht="12" customHeight="1" x14ac:dyDescent="0.15">
      <c r="A24" s="409" t="s">
        <v>239</v>
      </c>
      <c r="B24" s="499"/>
      <c r="C24" s="499"/>
      <c r="D24" s="499"/>
      <c r="E24" s="499"/>
      <c r="F24" s="500"/>
      <c r="G24" s="126"/>
      <c r="H24" s="126"/>
      <c r="I24" s="126"/>
      <c r="J24" s="126"/>
    </row>
    <row r="25" spans="1:10" ht="12" customHeight="1" x14ac:dyDescent="0.15">
      <c r="A25" s="29" t="s">
        <v>117</v>
      </c>
      <c r="B25" s="30" t="s">
        <v>118</v>
      </c>
      <c r="C25" s="38">
        <v>386.31</v>
      </c>
      <c r="D25" s="38">
        <f t="shared" ref="D25:D38" si="1">C25*3.412</f>
        <v>1318.0897199999999</v>
      </c>
      <c r="E25" s="32">
        <v>2169.2033999999999</v>
      </c>
      <c r="F25" s="33">
        <v>2494.1447999999996</v>
      </c>
      <c r="G25" s="126"/>
      <c r="H25" s="126"/>
      <c r="I25" s="126"/>
      <c r="J25" s="126"/>
    </row>
    <row r="26" spans="1:10" ht="12" customHeight="1" x14ac:dyDescent="0.15">
      <c r="A26" s="35" t="s">
        <v>119</v>
      </c>
      <c r="B26" s="36" t="s">
        <v>120</v>
      </c>
      <c r="C26" s="38">
        <v>579.86</v>
      </c>
      <c r="D26" s="38">
        <f t="shared" si="1"/>
        <v>1978.4823200000001</v>
      </c>
      <c r="E26" s="38">
        <v>2801.5217999999995</v>
      </c>
      <c r="F26" s="39">
        <v>3221.8128000000002</v>
      </c>
      <c r="G26" s="126"/>
      <c r="H26" s="126"/>
      <c r="I26" s="126"/>
      <c r="J26" s="126"/>
    </row>
    <row r="27" spans="1:10" ht="12" customHeight="1" x14ac:dyDescent="0.15">
      <c r="A27" s="29" t="s">
        <v>121</v>
      </c>
      <c r="B27" s="30" t="s">
        <v>122</v>
      </c>
      <c r="C27" s="38">
        <v>773.41000000000008</v>
      </c>
      <c r="D27" s="38">
        <f t="shared" si="1"/>
        <v>2638.8749200000002</v>
      </c>
      <c r="E27" s="32">
        <v>3381.1469999999995</v>
      </c>
      <c r="F27" s="33">
        <v>3888.0054</v>
      </c>
      <c r="G27" s="126"/>
      <c r="H27" s="126"/>
      <c r="I27" s="126"/>
      <c r="J27" s="126"/>
    </row>
    <row r="28" spans="1:10" ht="12" customHeight="1" x14ac:dyDescent="0.15">
      <c r="A28" s="35" t="s">
        <v>127</v>
      </c>
      <c r="B28" s="36" t="s">
        <v>128</v>
      </c>
      <c r="C28" s="38">
        <v>734.7</v>
      </c>
      <c r="D28" s="38">
        <f t="shared" si="1"/>
        <v>2506.7964000000002</v>
      </c>
      <c r="E28" s="38">
        <v>2650.9697999999994</v>
      </c>
      <c r="F28" s="39">
        <v>3048.6779999999999</v>
      </c>
      <c r="G28" s="126"/>
      <c r="H28" s="126"/>
      <c r="I28" s="126"/>
      <c r="J28" s="126"/>
    </row>
    <row r="29" spans="1:10" ht="12" customHeight="1" x14ac:dyDescent="0.15">
      <c r="A29" s="29" t="s">
        <v>129</v>
      </c>
      <c r="B29" s="30" t="s">
        <v>130</v>
      </c>
      <c r="C29" s="38">
        <v>1121.01</v>
      </c>
      <c r="D29" s="38">
        <f t="shared" si="1"/>
        <v>3824.8861199999997</v>
      </c>
      <c r="E29" s="32">
        <v>3500.3339999999994</v>
      </c>
      <c r="F29" s="33">
        <v>4023.5021999999994</v>
      </c>
      <c r="G29" s="126"/>
      <c r="H29" s="126"/>
      <c r="I29" s="126"/>
      <c r="J29" s="126"/>
    </row>
    <row r="30" spans="1:10" ht="12" customHeight="1" x14ac:dyDescent="0.15">
      <c r="A30" s="35" t="s">
        <v>131</v>
      </c>
      <c r="B30" s="36" t="s">
        <v>132</v>
      </c>
      <c r="C30" s="38">
        <v>1507.3200000000002</v>
      </c>
      <c r="D30" s="38">
        <f t="shared" si="1"/>
        <v>5142.9758400000001</v>
      </c>
      <c r="E30" s="38">
        <v>4398.6275999999998</v>
      </c>
      <c r="F30" s="39">
        <v>5058.5471999999991</v>
      </c>
      <c r="G30" s="126"/>
      <c r="H30" s="126"/>
      <c r="I30" s="126"/>
      <c r="J30" s="126"/>
    </row>
    <row r="31" spans="1:10" ht="12" customHeight="1" x14ac:dyDescent="0.15">
      <c r="A31" s="29" t="s">
        <v>133</v>
      </c>
      <c r="B31" s="30" t="s">
        <v>134</v>
      </c>
      <c r="C31" s="38">
        <v>506.39000000000004</v>
      </c>
      <c r="D31" s="38">
        <f t="shared" si="1"/>
        <v>1727.80268</v>
      </c>
      <c r="E31" s="32">
        <v>2176.7309999999998</v>
      </c>
      <c r="F31" s="33">
        <v>2502.9269999999992</v>
      </c>
      <c r="G31" s="126"/>
      <c r="H31" s="126"/>
      <c r="I31" s="126"/>
      <c r="J31" s="126"/>
    </row>
    <row r="32" spans="1:10" ht="12" customHeight="1" x14ac:dyDescent="0.15">
      <c r="A32" s="35" t="s">
        <v>145</v>
      </c>
      <c r="B32" s="36" t="s">
        <v>146</v>
      </c>
      <c r="C32" s="38">
        <v>723.64</v>
      </c>
      <c r="D32" s="38">
        <f t="shared" si="1"/>
        <v>2469.0596799999998</v>
      </c>
      <c r="E32" s="38">
        <v>2783.9573999999998</v>
      </c>
      <c r="F32" s="39">
        <v>3201.7392</v>
      </c>
      <c r="G32" s="126"/>
      <c r="H32" s="126"/>
      <c r="I32" s="126"/>
      <c r="J32" s="126"/>
    </row>
    <row r="33" spans="1:10" ht="12" customHeight="1" x14ac:dyDescent="0.15">
      <c r="A33" s="29" t="s">
        <v>147</v>
      </c>
      <c r="B33" s="30" t="s">
        <v>148</v>
      </c>
      <c r="C33" s="38">
        <v>1085.46</v>
      </c>
      <c r="D33" s="38">
        <f t="shared" si="1"/>
        <v>3703.58952</v>
      </c>
      <c r="E33" s="32">
        <v>3620.7755999999995</v>
      </c>
      <c r="F33" s="33">
        <v>4162.7627999999995</v>
      </c>
      <c r="G33" s="126"/>
      <c r="H33" s="126"/>
      <c r="I33" s="126"/>
      <c r="J33" s="126"/>
    </row>
    <row r="34" spans="1:10" ht="12" customHeight="1" x14ac:dyDescent="0.15">
      <c r="A34" s="35" t="s">
        <v>149</v>
      </c>
      <c r="B34" s="36" t="s">
        <v>150</v>
      </c>
      <c r="C34" s="38">
        <v>1447.28</v>
      </c>
      <c r="D34" s="38">
        <f t="shared" si="1"/>
        <v>4938.1193599999997</v>
      </c>
      <c r="E34" s="38">
        <v>4529.1059999999998</v>
      </c>
      <c r="F34" s="39">
        <v>5207.8445999999994</v>
      </c>
      <c r="G34" s="126"/>
      <c r="H34" s="126"/>
      <c r="I34" s="126"/>
      <c r="J34" s="126"/>
    </row>
    <row r="35" spans="1:10" ht="12" customHeight="1" x14ac:dyDescent="0.15">
      <c r="A35" s="29" t="s">
        <v>139</v>
      </c>
      <c r="B35" s="30" t="s">
        <v>140</v>
      </c>
      <c r="C35" s="38">
        <v>1085.46</v>
      </c>
      <c r="D35" s="38">
        <f t="shared" si="1"/>
        <v>3703.58952</v>
      </c>
      <c r="E35" s="32">
        <v>2614.5864000000001</v>
      </c>
      <c r="F35" s="33">
        <v>3007.2761999999998</v>
      </c>
      <c r="G35" s="126"/>
      <c r="H35" s="126"/>
      <c r="I35" s="126"/>
      <c r="J35" s="126"/>
    </row>
    <row r="36" spans="1:10" ht="12" customHeight="1" x14ac:dyDescent="0.15">
      <c r="A36" s="35" t="s">
        <v>151</v>
      </c>
      <c r="B36" s="36" t="s">
        <v>152</v>
      </c>
      <c r="C36" s="38">
        <v>1374.6000000000001</v>
      </c>
      <c r="D36" s="38">
        <f t="shared" si="1"/>
        <v>4690.1352000000006</v>
      </c>
      <c r="E36" s="38">
        <v>3435.0947999999994</v>
      </c>
      <c r="F36" s="39">
        <v>3949.4807999999998</v>
      </c>
      <c r="G36" s="126"/>
      <c r="H36" s="126"/>
      <c r="I36" s="126"/>
      <c r="J36" s="126"/>
    </row>
    <row r="37" spans="1:10" ht="12" customHeight="1" x14ac:dyDescent="0.15">
      <c r="A37" s="29" t="s">
        <v>153</v>
      </c>
      <c r="B37" s="30" t="s">
        <v>154</v>
      </c>
      <c r="C37" s="38">
        <v>2098.2400000000002</v>
      </c>
      <c r="D37" s="38">
        <f t="shared" si="1"/>
        <v>7159.1948800000009</v>
      </c>
      <c r="E37" s="32">
        <v>4633.2377999999999</v>
      </c>
      <c r="F37" s="33">
        <v>5327.0315999999993</v>
      </c>
      <c r="G37" s="126"/>
      <c r="H37" s="126"/>
      <c r="I37" s="126"/>
      <c r="J37" s="126"/>
    </row>
    <row r="38" spans="1:10" ht="12" customHeight="1" thickBot="1" x14ac:dyDescent="0.2">
      <c r="A38" s="40" t="s">
        <v>155</v>
      </c>
      <c r="B38" s="41" t="s">
        <v>156</v>
      </c>
      <c r="C38" s="43">
        <v>2821.88</v>
      </c>
      <c r="D38" s="43">
        <f t="shared" si="1"/>
        <v>9628.2545599999994</v>
      </c>
      <c r="E38" s="43">
        <v>5830.1261999999988</v>
      </c>
      <c r="F38" s="44">
        <v>6704.5823999999984</v>
      </c>
      <c r="G38" s="126"/>
      <c r="H38" s="126"/>
      <c r="I38" s="126"/>
      <c r="J38" s="126"/>
    </row>
    <row r="39" spans="1:10" ht="12" customHeight="1" x14ac:dyDescent="0.15">
      <c r="A39" s="506" t="s">
        <v>257</v>
      </c>
      <c r="B39" s="507"/>
      <c r="C39" s="507"/>
      <c r="D39" s="507"/>
      <c r="E39" s="507"/>
      <c r="F39" s="508"/>
      <c r="H39" s="25"/>
      <c r="I39" s="24"/>
      <c r="J39" s="24"/>
    </row>
    <row r="40" spans="1:10" ht="25" customHeight="1" x14ac:dyDescent="0.15">
      <c r="A40" s="501" t="s">
        <v>315</v>
      </c>
      <c r="B40" s="502"/>
      <c r="C40" s="502"/>
      <c r="D40" s="502"/>
      <c r="E40" s="502"/>
      <c r="F40" s="503"/>
      <c r="H40" s="25"/>
      <c r="I40" s="24"/>
      <c r="J40" s="24"/>
    </row>
    <row r="41" spans="1:10" ht="43" customHeight="1" thickBot="1" x14ac:dyDescent="0.2">
      <c r="A41" s="496" t="s">
        <v>310</v>
      </c>
      <c r="B41" s="497"/>
      <c r="C41" s="497"/>
      <c r="D41" s="497"/>
      <c r="E41" s="497"/>
      <c r="F41" s="498"/>
      <c r="H41" s="25"/>
      <c r="I41" s="24"/>
      <c r="J41" s="24"/>
    </row>
    <row r="42" spans="1:10" ht="41" customHeight="1" thickBot="1" x14ac:dyDescent="0.2">
      <c r="A42" s="346" t="s">
        <v>230</v>
      </c>
      <c r="B42" s="504"/>
      <c r="C42" s="504"/>
      <c r="D42" s="504"/>
      <c r="E42" s="504"/>
      <c r="F42" s="505"/>
      <c r="H42" s="25"/>
      <c r="I42" s="24"/>
      <c r="J42" s="24"/>
    </row>
    <row r="43" spans="1:10" ht="12" customHeight="1" x14ac:dyDescent="0.15">
      <c r="A43" s="509" t="s">
        <v>261</v>
      </c>
      <c r="B43" s="510"/>
      <c r="C43" s="510"/>
      <c r="D43" s="510"/>
      <c r="E43" s="510"/>
      <c r="F43" s="511"/>
      <c r="H43" s="25"/>
      <c r="I43" s="24"/>
      <c r="J43" s="24"/>
    </row>
    <row r="44" spans="1:10" s="28" customFormat="1" ht="12" customHeight="1" x14ac:dyDescent="0.15">
      <c r="A44" s="323" t="s">
        <v>259</v>
      </c>
      <c r="B44" s="324"/>
      <c r="C44" s="324"/>
      <c r="D44" s="324"/>
      <c r="E44" s="324"/>
      <c r="F44" s="325"/>
      <c r="H44" s="25"/>
      <c r="I44" s="24"/>
      <c r="J44" s="24"/>
    </row>
    <row r="45" spans="1:10" s="28" customFormat="1" ht="12" customHeight="1" x14ac:dyDescent="0.15">
      <c r="A45" s="323" t="s">
        <v>254</v>
      </c>
      <c r="B45" s="324"/>
      <c r="C45" s="324"/>
      <c r="D45" s="324"/>
      <c r="E45" s="324"/>
      <c r="F45" s="325"/>
      <c r="H45" s="25"/>
      <c r="I45" s="24"/>
      <c r="J45" s="24"/>
    </row>
    <row r="46" spans="1:10" s="28" customFormat="1" ht="12" customHeight="1" thickBot="1" x14ac:dyDescent="0.2">
      <c r="A46" s="326" t="s">
        <v>71</v>
      </c>
      <c r="B46" s="327"/>
      <c r="C46" s="327"/>
      <c r="D46" s="327"/>
      <c r="E46" s="327"/>
      <c r="F46" s="328"/>
      <c r="H46" s="25"/>
      <c r="I46" s="24"/>
      <c r="J46" s="24"/>
    </row>
  </sheetData>
  <mergeCells count="21">
    <mergeCell ref="B5:B6"/>
    <mergeCell ref="A39:F39"/>
    <mergeCell ref="A43:F43"/>
    <mergeCell ref="A4:F4"/>
    <mergeCell ref="A1:F1"/>
    <mergeCell ref="A5:A6"/>
    <mergeCell ref="E5:E6"/>
    <mergeCell ref="F5:F6"/>
    <mergeCell ref="A3:F3"/>
    <mergeCell ref="C5:C6"/>
    <mergeCell ref="D5:D6"/>
    <mergeCell ref="A44:F44"/>
    <mergeCell ref="A45:F45"/>
    <mergeCell ref="A46:F46"/>
    <mergeCell ref="A7:F7"/>
    <mergeCell ref="A8:F8"/>
    <mergeCell ref="A41:F41"/>
    <mergeCell ref="A16:F16"/>
    <mergeCell ref="A24:F24"/>
    <mergeCell ref="A40:F40"/>
    <mergeCell ref="A42:F42"/>
  </mergeCells>
  <phoneticPr fontId="6" type="noConversion"/>
  <pageMargins left="0.75" right="0.75" top="1" bottom="1" header="0.5" footer="0.5"/>
  <pageSetup paperSize="9" scale="86"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COLUMN RANGE</vt:lpstr>
      <vt:lpstr>OUTLINE RANGE</vt:lpstr>
      <vt:lpstr>OUTLINE RANGE BESPOKE SIZE CALC</vt:lpstr>
      <vt:lpstr>OUTLINE RANGE H&amp;B HIDDEN VALVES</vt:lpstr>
      <vt:lpstr>OUTLINE VENEER RANGE</vt:lpstr>
      <vt:lpstr>OUTLINE VENEER RANGE SIZE CALC</vt:lpstr>
      <vt:lpstr>OUTLINE VENEER RANGE H&amp;B</vt:lpstr>
      <vt:lpstr>Column</vt:lpstr>
      <vt:lpstr>'COLUMN RANGE'!Print_Area</vt:lpstr>
      <vt:lpstr>'OUTLINE RANGE'!Print_Area</vt:lpstr>
      <vt:lpstr>'OUTLINE RANGE H&amp;B HIDDEN VALVES'!Print_Area</vt:lpstr>
      <vt:lpstr>'OUTLINE VENEER RANGE'!Print_Area</vt:lpstr>
      <vt:lpstr>'OUTLINE VENEER RANGE H&amp;B'!Print_Area</vt:lpstr>
    </vt:vector>
  </TitlesOfParts>
  <Company>Eskimo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dc:creator>
  <cp:lastModifiedBy>Microsoft Office User</cp:lastModifiedBy>
  <cp:lastPrinted>2023-05-26T11:35:27Z</cp:lastPrinted>
  <dcterms:created xsi:type="dcterms:W3CDTF">2004-12-01T15:47:22Z</dcterms:created>
  <dcterms:modified xsi:type="dcterms:W3CDTF">2024-01-30T13:38:16Z</dcterms:modified>
</cp:coreProperties>
</file>